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Т-подкл'!$136:$137</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Т-подкл'!$138:$139</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Предложение!$273:$275</definedName>
    <definedName name="OFFER_TARIFF_A_COLDVSNA_1">Предложение!$51:$54</definedName>
    <definedName name="OFFER_TARIFF_A_COLDVSNA_2">Предложение!$115:$118</definedName>
    <definedName name="OFFER_TARIFF_A_COLDVSNA_3">Предложение!$177:$180</definedName>
    <definedName name="OFFER_TARIFF_A_COLDVSNA_4">Предложение!$239:$241</definedName>
    <definedName name="OFFER_TARIFF_A_COLDVSNA_5">Предложение!$300:$302</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Предложение!$254:$256</definedName>
    <definedName name="OFFER_TARIFF_A_HOTVSNA_5">Предложение!$315:$317</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Предложение!$263:$265</definedName>
    <definedName name="OFFER_TARIFF_A_VOTV_5">Предложение!$324:$326</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Предложение!$276:$278</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Предложение!$242:$244</definedName>
    <definedName name="OFFER_TARIFF_B_COLDVSNA_5">Предложение!$303:$305</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Предложение!$257:$259</definedName>
    <definedName name="OFFER_TARIFF_B_HOTVSNA_5">Предложение!$318:$320</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Предложение!$266:$268</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Предложение!$279:$281</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Предложение!$245:$247</definedName>
    <definedName name="OFFER_TARIFF_C_COLDVSNA_5">Предложение!$306:$308</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Предложение!$260:$262</definedName>
    <definedName name="OFFER_TARIFF_C_HOTVSNA_5">Предложение!$321:$323</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Предложение!$269:$271</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Предложение!$282:$284</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Предложение!$248:$250</definedName>
    <definedName name="OFFER_TARIFF_D_COLDVSNA_5">Предложение!$309:$311</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Предложение!$251:$253</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Предложение!$G$241</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Предложение!$G$256</definedName>
    <definedName name="pIns_PT_VTAR_A_HOTVSNA_OFFER_5">Предложение!$G$317</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Предложение!$G$275</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Предложение!$G$265</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Предложение!$G$244</definedName>
    <definedName name="pIns_PT_VTAR_B_COLDVSNA_OFFER_5">Предложение!$G$305</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Предложение!$G$259</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Предложение!$G$278</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Предложение!$G$268</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Предложение!$G$247</definedName>
    <definedName name="pIns_PT_VTAR_C_COLDVSNA_OFFER_5">Предложение!$G$308</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Предложение!$G$262</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Предложение!$G$281</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Предложение!$G$271</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Предложение!$G$250</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Предложение!$G$284</definedName>
    <definedName name="pIns_PT_VTAR_E_COLDVSNA">'ХВС. Т-подкл'!$T$135</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Предложение!$G$253</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Т-подкл'!$48:$132</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Т-подкл'!$46:$134</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Т-подкл'!$47:$133</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Т-подкл'!$BB$136</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<sst xmlns="http://schemas.openxmlformats.org/spreadsheetml/2006/main" count="13125" uniqueCount="3288">
  <si>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</si>
  <si>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</si>
  <si>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</si>
  <si>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</si>
  <si>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</si>
  <si>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</si>
  <si>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</si>
  <si>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</si>
  <si>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</si>
  <si>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</si>
  <si>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</si>
  <si>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</si>
  <si>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</si>
  <si>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26370678</t>
  </si>
  <si>
    <t>Flag_Row_Size</t>
  </si>
  <si>
    <t>Субъект РФ</t>
  </si>
  <si>
    <t>Республика Марий Эл</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</si>
  <si>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</si>
  <si>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</si>
  <si>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</si>
  <si>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</si>
  <si>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</si>
  <si>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</si>
  <si>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</si>
  <si>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</si>
  <si>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</si>
  <si>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</si>
  <si>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</si>
  <si>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</si>
  <si>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</si>
  <si>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</si>
  <si>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</si>
  <si>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</si>
  <si>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</si>
  <si>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</si>
  <si>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</si>
  <si>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</si>
  <si>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</si>
  <si>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</si>
  <si>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</si>
  <si>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</si>
  <si>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1005,1062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</si>
  <si>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</si>
  <si>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</si>
  <si>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</si>
  <si>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</si>
  <si>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</si>
  <si>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</si>
  <si>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</si>
  <si>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1215020390</t>
  </si>
  <si>
    <t>КПП</t>
  </si>
  <si>
    <t>121501001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</si>
  <si>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</si>
  <si>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</si>
  <si>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</si>
  <si>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</si>
  <si>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</si>
  <si>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</si>
  <si>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</si>
  <si>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</si>
  <si>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</si>
  <si>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</si>
  <si>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</si>
  <si>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</si>
  <si>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</si>
  <si>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</si>
  <si>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</si>
  <si>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</si>
  <si>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</si>
  <si>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424039, Республика Марий Эл, г.Йошкар-Ола, ул.Дружбы 2</t>
  </si>
  <si>
    <t>Фамилия, имя, отчество руководителя</t>
  </si>
  <si>
    <t>Ерешкин Андрей Владимирович</t>
  </si>
  <si>
    <t>Ответственный за заполнение формы</t>
  </si>
  <si>
    <t>Фамилия, имя, отчество</t>
  </si>
  <si>
    <t>Средина Е.С., Исаев В.В.</t>
  </si>
  <si>
    <t>Должность</t>
  </si>
  <si>
    <t>начальник ПЭО, начальник ПТО</t>
  </si>
  <si>
    <t>Контактный телефон</t>
  </si>
  <si>
    <t>(8362) 41-79-01, (8362) 41-82-91</t>
  </si>
  <si>
    <t>E-mail</t>
  </si>
  <si>
    <t>peo@vod12.ru, pto12@inbox.ru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</si>
  <si>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</si>
  <si>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</si>
  <si>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</si>
  <si>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</si>
  <si>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</si>
  <si>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</si>
  <si>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</si>
  <si>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</si>
  <si>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</si>
  <si>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</si>
  <si>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</si>
  <si>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</si>
  <si>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</si>
  <si>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</si>
  <si>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</si>
  <si>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</si>
  <si>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</si>
  <si>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134</t>
  </si>
  <si>
    <t>г. Йошкар-Ола</t>
  </si>
  <si>
    <t>88701000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</si>
  <si>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</si>
  <si>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</si>
  <si>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</si>
  <si>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</si>
  <si>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</si>
  <si>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</si>
  <si>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</si>
  <si>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</si>
  <si>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</si>
  <si>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</si>
  <si>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</si>
  <si>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</si>
  <si>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</si>
  <si>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</si>
  <si>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</si>
  <si>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</si>
  <si>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</si>
  <si>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</si>
  <si>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</si>
  <si>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</si>
  <si>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</si>
  <si>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</si>
  <si>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</si>
  <si>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</si>
  <si>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</si>
  <si>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</si>
  <si>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</si>
  <si>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</si>
  <si>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</si>
  <si>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</si>
  <si>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</si>
  <si>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</si>
  <si>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</si>
  <si>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</si>
  <si>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</si>
  <si>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</si>
  <si>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</si>
  <si>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</si>
  <si>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</si>
  <si>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</si>
  <si>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</si>
  <si>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</si>
  <si>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</si>
  <si>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</si>
  <si>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</si>
  <si>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</si>
  <si>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</si>
  <si>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</si>
  <si>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</si>
  <si>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</si>
  <si>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</si>
  <si>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</si>
  <si>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</si>
  <si>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</si>
  <si>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</si>
  <si>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</si>
  <si>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</si>
  <si>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</si>
  <si>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</si>
  <si>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</si>
  <si>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</si>
  <si>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</si>
  <si>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</si>
  <si>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</si>
  <si>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</si>
  <si>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</si>
  <si>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</si>
  <si>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</si>
  <si>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</si>
  <si>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</si>
  <si>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</si>
  <si>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</si>
  <si>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</si>
  <si>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</si>
  <si>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</si>
  <si>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</si>
  <si>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</si>
  <si>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</si>
  <si>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</si>
  <si>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</si>
  <si>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</si>
  <si>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</si>
  <si>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</si>
  <si>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</si>
  <si>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</si>
  <si>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</si>
  <si>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</si>
  <si>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</si>
  <si>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</si>
  <si>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</si>
  <si>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</si>
  <si>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</si>
  <si>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</si>
  <si>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</si>
  <si>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</si>
  <si>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</si>
  <si>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</si>
  <si>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</si>
  <si>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</si>
  <si>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</si>
  <si>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</si>
  <si>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</si>
  <si>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</si>
  <si>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</si>
  <si>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</si>
  <si>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</si>
  <si>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</si>
  <si>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</si>
  <si>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</si>
  <si>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</si>
  <si>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</si>
  <si>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</si>
  <si>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</si>
  <si>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</si>
  <si>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</si>
  <si>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</si>
  <si>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</si>
  <si>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</si>
  <si>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</si>
  <si>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</si>
  <si>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</si>
  <si>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</si>
  <si>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</si>
  <si>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</si>
  <si>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</si>
  <si>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</si>
  <si>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</si>
  <si>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</si>
  <si>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</si>
  <si>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</si>
  <si>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</si>
  <si>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</si>
  <si>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</si>
  <si>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</si>
  <si>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</si>
  <si>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</si>
  <si>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</si>
  <si>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</si>
  <si>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</si>
  <si>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</si>
  <si>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</si>
  <si>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</si>
  <si>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</si>
  <si>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</si>
  <si>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</si>
  <si>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</si>
  <si>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</si>
  <si>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</si>
  <si>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</si>
  <si>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</si>
  <si>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</si>
  <si>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</si>
  <si>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</si>
  <si>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</si>
  <si>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</si>
  <si>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</si>
  <si>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</si>
  <si>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</si>
  <si>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</si>
  <si>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</si>
  <si>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</si>
  <si>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</si>
  <si>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</si>
  <si>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</si>
  <si>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</si>
  <si>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</si>
  <si>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</si>
  <si>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</si>
  <si>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</si>
  <si>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</si>
  <si>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</si>
  <si>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</si>
  <si>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</si>
  <si>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</si>
  <si>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</si>
  <si>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</si>
  <si>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</si>
  <si>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</si>
  <si>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</si>
  <si>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</si>
  <si>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</si>
  <si>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</si>
  <si>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</si>
  <si>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</si>
  <si>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</si>
  <si>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</si>
  <si>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</si>
  <si>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</si>
  <si>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</si>
  <si>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</si>
  <si>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</si>
  <si>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</si>
  <si>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</si>
  <si>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</si>
  <si>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</si>
  <si>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</si>
  <si>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</si>
  <si>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</si>
  <si>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</si>
  <si>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</si>
  <si>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</si>
  <si>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</si>
  <si>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</si>
  <si>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</si>
  <si>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</si>
  <si>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</si>
  <si>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</si>
  <si>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</si>
  <si>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</si>
  <si>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</si>
  <si>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</si>
  <si>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</si>
  <si>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</si>
  <si>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</si>
  <si>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</si>
  <si>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</si>
  <si>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</si>
  <si>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</si>
  <si>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</si>
  <si>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</si>
  <si>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</si>
  <si>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</si>
  <si>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</si>
  <si>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</si>
  <si>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</si>
  <si>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</si>
  <si>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</si>
  <si>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</si>
  <si>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</si>
  <si>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</si>
  <si>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</si>
  <si>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</si>
  <si>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</si>
  <si>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</si>
  <si>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</si>
  <si>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</si>
  <si>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</si>
  <si>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</si>
  <si>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</si>
  <si>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</si>
  <si>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</si>
  <si>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</si>
  <si>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</si>
  <si>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</si>
  <si>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</si>
  <si>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</si>
  <si>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</si>
  <si>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</si>
  <si>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</si>
  <si>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</si>
  <si>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</si>
  <si>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</si>
  <si>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</si>
  <si>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</si>
  <si>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</si>
  <si>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</si>
  <si>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</si>
  <si>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</si>
  <si>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</si>
  <si>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</si>
  <si>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</si>
  <si>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</si>
  <si>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</si>
  <si>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</si>
  <si>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</si>
  <si>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</si>
  <si>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</si>
  <si>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</si>
  <si>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</si>
  <si>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</si>
  <si>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</si>
  <si>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</si>
  <si>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</si>
  <si>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</si>
  <si>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</si>
  <si>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</si>
  <si>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</si>
  <si>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</si>
  <si>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</si>
  <si>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</si>
  <si>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</si>
  <si>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</si>
  <si>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</si>
  <si>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</si>
  <si>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</si>
  <si>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</si>
  <si>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</si>
  <si>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</si>
  <si>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</si>
  <si>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</si>
  <si>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</si>
  <si>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</si>
  <si>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</si>
  <si>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</si>
  <si>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</si>
  <si>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</si>
  <si>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</si>
  <si>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</si>
  <si>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</si>
  <si>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</si>
  <si>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</si>
  <si>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</si>
  <si>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</si>
  <si>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</si>
  <si>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</si>
  <si>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</si>
  <si>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</si>
  <si>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</si>
  <si>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</si>
  <si>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</si>
  <si>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</si>
  <si>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</si>
  <si>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</si>
  <si>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</si>
  <si>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</si>
  <si>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</si>
  <si>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</si>
  <si>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</si>
  <si>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</si>
  <si>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</si>
  <si>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</si>
  <si>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</si>
  <si>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</si>
  <si>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</si>
  <si>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</si>
  <si>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</si>
  <si>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</si>
  <si>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</si>
  <si>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</si>
  <si>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</si>
  <si>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</si>
  <si>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</si>
  <si>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</si>
  <si>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</si>
  <si>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</si>
  <si>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</si>
  <si>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</si>
  <si>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</si>
  <si>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</si>
  <si>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</si>
  <si>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</si>
  <si>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</si>
  <si>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</si>
  <si>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</si>
  <si>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</si>
  <si>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</si>
  <si>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</si>
  <si>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</si>
  <si>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</si>
  <si>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</si>
  <si>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</si>
  <si>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</si>
  <si>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</si>
  <si>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</si>
  <si>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</si>
  <si>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</si>
  <si>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</si>
  <si>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</si>
  <si>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</si>
  <si>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</si>
  <si>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</si>
  <si>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</si>
  <si>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</si>
  <si>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</si>
  <si>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</si>
  <si>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</si>
  <si>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</si>
  <si>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</si>
  <si>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</si>
  <si>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</si>
  <si>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</si>
  <si>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</si>
  <si>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</si>
  <si>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</si>
  <si>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</si>
  <si>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</si>
  <si>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</si>
  <si>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</si>
  <si>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</si>
  <si>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</si>
  <si>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</si>
  <si>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</si>
  <si>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</si>
  <si>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</si>
  <si>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</si>
  <si>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</si>
  <si>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</si>
  <si>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</si>
  <si>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</si>
  <si>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</si>
  <si>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</si>
  <si>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</si>
  <si>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</si>
  <si>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</si>
  <si>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</si>
  <si>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</si>
  <si>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</si>
  <si>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</si>
  <si>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</si>
  <si>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</si>
  <si>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</si>
  <si>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</si>
  <si>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</si>
  <si>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</si>
  <si>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</si>
  <si>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</si>
  <si>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</si>
  <si>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</si>
  <si>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</si>
  <si>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</si>
  <si>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</si>
  <si>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</si>
  <si>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</si>
  <si>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</si>
  <si>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</si>
  <si>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</si>
  <si>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</si>
  <si>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40 мм и менее</t>
  </si>
  <si>
    <t>сухие грунты, открытый способ, глубина 3 м</t>
  </si>
  <si>
    <t>от 41 мм до 70 мм включительно</t>
  </si>
  <si>
    <t>от 71 мм до 100 мм включительно</t>
  </si>
  <si>
    <t>от 101 мм до 150 мм включительно</t>
  </si>
  <si>
    <t>от 151 мм до 200 мм включительно</t>
  </si>
  <si>
    <t>от 201 мм до 250 мм включительно</t>
  </si>
  <si>
    <t>мокрые грунты, открытый способ, глубина 3 м</t>
  </si>
  <si>
    <t>сухие грунты, прокол, глубина 3 м</t>
  </si>
  <si>
    <t>мокрые грунты, прокол, глубина 3 м</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</si>
  <si>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</si>
  <si>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</si>
  <si>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</si>
  <si>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</si>
  <si>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</si>
  <si>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</si>
  <si>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</si>
  <si>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</si>
  <si>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</si>
  <si>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</si>
  <si>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</si>
  <si>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</si>
  <si>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</si>
  <si>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</si>
  <si>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</si>
  <si>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</si>
  <si>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</si>
  <si>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</si>
  <si>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</si>
  <si>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</si>
  <si>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</si>
  <si>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</si>
  <si>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</si>
  <si>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</si>
  <si>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</si>
  <si>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</si>
  <si>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</si>
  <si>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</si>
  <si>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</si>
  <si>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</si>
  <si>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</si>
  <si>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</si>
  <si>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</si>
  <si>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</si>
  <si>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</si>
  <si>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</si>
  <si>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</si>
  <si>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</si>
  <si>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</si>
  <si>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</si>
  <si>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</si>
  <si>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</si>
  <si>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</si>
  <si>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</si>
  <si>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</si>
  <si>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</si>
  <si>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</si>
  <si>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</si>
  <si>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</si>
  <si>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</si>
  <si>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</si>
  <si>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</si>
  <si>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</si>
  <si>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</si>
  <si>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</si>
  <si>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</si>
  <si>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</si>
  <si>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</si>
  <si>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</si>
  <si>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</si>
  <si>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</si>
  <si>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</si>
  <si>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</si>
  <si>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</si>
  <si>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</si>
  <si>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</si>
  <si>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</si>
  <si>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</si>
  <si>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</si>
  <si>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</si>
  <si>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</si>
  <si>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</si>
  <si>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</si>
  <si>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</si>
  <si>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</si>
  <si>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</si>
  <si>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</si>
  <si>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</si>
  <si>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</si>
  <si>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</si>
  <si>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</si>
  <si>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</si>
  <si>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</si>
  <si>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</si>
  <si>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</si>
  <si>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</si>
  <si>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</si>
  <si>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</si>
  <si>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</si>
  <si>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</si>
  <si>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</si>
  <si>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</si>
  <si>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</si>
  <si>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</si>
  <si>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</si>
  <si>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</si>
  <si>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</si>
  <si>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</si>
  <si>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</si>
  <si>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</si>
  <si>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</si>
  <si>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</si>
  <si>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</si>
  <si>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</si>
  <si>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</si>
  <si>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</si>
  <si>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</si>
  <si>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</si>
  <si>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</si>
  <si>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</si>
  <si>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</si>
  <si>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</si>
  <si>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</si>
  <si>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</si>
  <si>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</si>
  <si>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</si>
  <si>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</si>
  <si>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</si>
  <si>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</si>
  <si>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</si>
  <si>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</si>
  <si>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</si>
  <si>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</si>
  <si>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</si>
  <si>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</si>
  <si>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</si>
  <si>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</si>
  <si>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</si>
  <si>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</si>
  <si>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</si>
  <si>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</si>
  <si>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</si>
  <si>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</si>
  <si>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</si>
  <si>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</si>
  <si>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</si>
  <si>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</si>
  <si>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</si>
  <si>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</si>
  <si>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</si>
  <si>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</si>
  <si>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</si>
  <si>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</si>
  <si>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</si>
  <si>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</si>
  <si>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</si>
  <si>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</si>
  <si>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</si>
  <si>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</si>
  <si>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</si>
  <si>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</si>
  <si>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</si>
  <si>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</si>
  <si>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</si>
  <si>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</si>
  <si>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</si>
  <si>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</si>
  <si>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</si>
  <si>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</si>
  <si>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</si>
  <si>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</si>
  <si>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</si>
  <si>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</si>
  <si>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</si>
  <si>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</si>
  <si>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</si>
  <si>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</si>
  <si>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</si>
  <si>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</si>
  <si>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</si>
  <si>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</si>
  <si>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</si>
  <si>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</si>
  <si>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</si>
  <si>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</si>
  <si>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</si>
  <si>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</si>
  <si>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</si>
  <si>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</si>
  <si>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</si>
  <si>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</si>
  <si>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</si>
  <si>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</si>
  <si>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</si>
  <si>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</si>
  <si>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</si>
  <si>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</si>
  <si>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</si>
  <si>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</si>
  <si>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</si>
  <si>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</si>
  <si>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</si>
  <si>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</si>
  <si>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</si>
  <si>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</si>
  <si>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</si>
  <si>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</si>
  <si>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</si>
  <si>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</si>
  <si>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</si>
  <si>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</si>
  <si>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</si>
  <si>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</si>
  <si>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</si>
  <si>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</si>
  <si>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</si>
  <si>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</si>
  <si>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</si>
  <si>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</si>
  <si>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</si>
  <si>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</si>
  <si>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</si>
  <si>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</si>
  <si>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</si>
  <si>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</si>
  <si>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</si>
  <si>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</si>
  <si>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</si>
  <si>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</si>
  <si>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</si>
  <si>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</si>
  <si>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</si>
  <si>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</si>
  <si>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</si>
  <si>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</si>
  <si>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</si>
  <si>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</si>
  <si>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</si>
  <si>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</si>
  <si>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</si>
  <si>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</si>
  <si>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</si>
  <si>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</si>
  <si>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</si>
  <si>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</si>
  <si>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</si>
  <si>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</si>
  <si>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</si>
  <si>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</si>
  <si>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</si>
  <si>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</si>
  <si>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</si>
  <si>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</si>
  <si>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</si>
  <si>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</si>
  <si>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</si>
  <si>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</si>
  <si>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</si>
  <si>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</si>
  <si>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</si>
  <si>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</si>
  <si>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</si>
  <si>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</si>
  <si>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</si>
  <si>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</si>
  <si>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</si>
  <si>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</si>
  <si>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</si>
  <si>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</si>
  <si>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</si>
  <si>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</si>
  <si>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</si>
  <si>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</si>
  <si>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</si>
  <si>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</si>
  <si>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</si>
  <si>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</si>
  <si>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</si>
  <si>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</si>
  <si>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</si>
  <si>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</si>
  <si>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</si>
  <si>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</si>
  <si>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</si>
  <si>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</si>
  <si>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</si>
  <si>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</si>
  <si>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</si>
  <si>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</si>
  <si>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</si>
  <si>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</si>
  <si>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</si>
  <si>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</si>
  <si>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</si>
  <si>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</si>
  <si>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</si>
  <si>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</si>
  <si>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</si>
  <si>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</si>
  <si>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</si>
  <si>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</si>
  <si>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</si>
  <si>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</si>
  <si>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</si>
  <si>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</si>
  <si>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</si>
  <si>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</si>
  <si>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</si>
  <si>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</si>
  <si>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</si>
  <si>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</si>
  <si>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</si>
  <si>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</si>
  <si>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</si>
  <si>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</si>
  <si>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</si>
  <si>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</si>
  <si>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</si>
  <si>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</si>
  <si>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</si>
  <si>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</si>
  <si>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</si>
  <si>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</si>
  <si>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</si>
  <si>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</si>
  <si>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</si>
  <si>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</si>
  <si>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</si>
  <si>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</si>
  <si>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</si>
  <si>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</si>
  <si>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</si>
  <si>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</si>
  <si>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</si>
  <si>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</si>
  <si>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</si>
  <si>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</si>
  <si>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</si>
  <si>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</si>
  <si>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</si>
  <si>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</si>
  <si>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</si>
  <si>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</si>
  <si>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</si>
  <si>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</si>
  <si>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</si>
  <si>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</si>
  <si>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</si>
  <si>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</si>
  <si>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</si>
  <si>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</si>
  <si>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</si>
  <si>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</si>
  <si>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</si>
  <si>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</si>
  <si>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</si>
  <si>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</si>
  <si>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</si>
  <si>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</si>
  <si>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</si>
  <si>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</si>
  <si>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</si>
  <si>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</si>
  <si>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</si>
  <si>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</si>
  <si>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</si>
  <si>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</si>
  <si>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</si>
  <si>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</si>
  <si>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</si>
  <si>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</si>
  <si>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</si>
  <si>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</si>
  <si>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</si>
  <si>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</si>
  <si>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</si>
  <si>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</si>
  <si>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</si>
  <si>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</si>
  <si>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</si>
  <si>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</si>
  <si>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</si>
  <si>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</si>
  <si>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</si>
  <si>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</si>
  <si>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</si>
  <si>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</si>
  <si>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</si>
  <si>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</si>
  <si>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</si>
  <si>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</si>
  <si>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</si>
  <si>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</si>
  <si>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</si>
  <si>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</si>
  <si>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</si>
  <si>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</si>
  <si>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</si>
  <si>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</si>
  <si>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</si>
  <si>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</si>
  <si>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</si>
  <si>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</si>
  <si>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</si>
  <si>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</si>
  <si>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</si>
  <si>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</si>
  <si>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</si>
  <si>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</si>
  <si>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</si>
  <si>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</si>
  <si>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</si>
  <si>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</si>
  <si>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</si>
  <si>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</si>
  <si>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</si>
  <si>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</si>
  <si>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</si>
  <si>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</si>
  <si>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</si>
  <si>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</si>
  <si>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</si>
  <si>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</si>
  <si>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</si>
  <si>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</si>
  <si>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</si>
  <si>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</si>
  <si>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</si>
  <si>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</si>
  <si>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</si>
  <si>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</si>
  <si>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</si>
  <si>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</si>
  <si>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</si>
  <si>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</si>
  <si>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</si>
  <si>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</si>
  <si>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</si>
  <si>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</si>
  <si>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</si>
  <si>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</si>
  <si>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</si>
  <si>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</si>
  <si>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</si>
  <si>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</si>
  <si>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</si>
  <si>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</si>
  <si>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</si>
  <si>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</si>
  <si>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</si>
  <si>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</si>
  <si>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</si>
  <si>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</si>
  <si>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</si>
  <si>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</si>
  <si>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</si>
  <si>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</si>
  <si>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</si>
  <si>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</si>
  <si>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</si>
  <si>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</si>
  <si>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</si>
  <si>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</si>
  <si>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</si>
  <si>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</si>
  <si>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</si>
  <si>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</si>
  <si>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</si>
  <si>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</si>
  <si>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</si>
  <si>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</si>
  <si>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</si>
  <si>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</si>
  <si>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</si>
  <si>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</si>
  <si>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</si>
  <si>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</si>
  <si>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</si>
  <si>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</si>
  <si>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</si>
  <si>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</si>
  <si>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</si>
  <si>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</si>
  <si>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</si>
  <si>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</si>
  <si>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</si>
  <si>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</si>
  <si>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</si>
  <si>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</si>
  <si>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</si>
  <si>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</si>
  <si>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</si>
  <si>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</si>
  <si>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</si>
  <si>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</si>
  <si>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</si>
  <si>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</si>
  <si>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</si>
  <si>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</si>
  <si>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</si>
  <si>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</si>
  <si>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</si>
  <si>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</si>
  <si>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</si>
  <si>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</si>
  <si>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</si>
  <si>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</si>
  <si>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</si>
  <si>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</si>
  <si>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</si>
  <si>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</si>
  <si>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</si>
  <si>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</si>
  <si>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</si>
  <si>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</si>
  <si>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</si>
  <si>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</si>
  <si>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</si>
  <si>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</si>
  <si>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</si>
  <si>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</si>
  <si>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</si>
  <si>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</si>
  <si>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</si>
  <si>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</si>
  <si>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</si>
  <si>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</si>
  <si>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</si>
  <si>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</si>
  <si>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</si>
  <si>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</si>
  <si>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</si>
  <si>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</si>
  <si>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</si>
  <si>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</si>
  <si>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</si>
  <si>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</si>
  <si>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</si>
  <si>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</si>
  <si>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</si>
  <si>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</si>
  <si>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</si>
  <si>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</si>
  <si>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</si>
  <si>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</si>
  <si>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</si>
  <si>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</si>
  <si>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</si>
  <si>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</si>
  <si>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</si>
  <si>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</si>
  <si>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</si>
  <si>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</si>
  <si>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</si>
  <si>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</si>
  <si>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</si>
  <si>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</si>
  <si>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</si>
  <si>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</si>
  <si>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</si>
  <si>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</si>
  <si>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</si>
  <si>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</si>
  <si>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</si>
  <si>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</si>
  <si>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</si>
  <si>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</si>
  <si>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</si>
  <si>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</si>
  <si>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</si>
  <si>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</si>
  <si>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</si>
  <si>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</si>
  <si>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</si>
  <si>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</si>
  <si>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</si>
  <si>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</si>
  <si>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</si>
  <si>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</si>
  <si>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</si>
  <si>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</si>
  <si>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</si>
  <si>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</si>
  <si>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</si>
  <si>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</si>
  <si>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</si>
  <si>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</si>
  <si>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</si>
  <si>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</si>
  <si>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</si>
  <si>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</si>
  <si>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</si>
  <si>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</si>
  <si>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</si>
  <si>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</si>
  <si>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</si>
  <si>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</si>
  <si>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</si>
  <si>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</si>
  <si>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</si>
  <si>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</si>
  <si>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</si>
  <si>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</si>
  <si>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</si>
  <si>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</si>
  <si>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</si>
  <si>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</si>
  <si>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</si>
  <si>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</si>
  <si>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</si>
  <si>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</si>
  <si>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</si>
  <si>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</si>
  <si>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</si>
  <si>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</si>
  <si>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</si>
  <si>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</si>
  <si>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</si>
  <si>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</si>
  <si>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</si>
  <si>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</si>
  <si>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</si>
  <si>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</si>
  <si>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</si>
  <si>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</si>
  <si>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</si>
  <si>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</si>
  <si>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</si>
  <si>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</si>
  <si>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</si>
  <si>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</si>
  <si>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</si>
  <si>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</si>
  <si>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</si>
  <si>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</si>
  <si>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</si>
  <si>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</si>
  <si>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</si>
  <si>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</si>
  <si>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</si>
  <si>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</si>
  <si>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</si>
  <si>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</si>
  <si>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</si>
  <si>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</si>
  <si>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https://portal.eias.ru/Portal/DownloadPage.aspx?type=12&amp;guid=9ca55366-91a8-499f-a84f-ddbf44f2d2af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</si>
  <si>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</si>
  <si>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</si>
  <si>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</si>
  <si>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Муниципального унитарного предприятия «Водоканал» г. Йошкар-Олы» муниципального образования«Город Йошкар-Ола»</t>
  </si>
  <si>
    <t>https://zakupki.gov.ru/epz/orderclause/card/documents.html?orderClauseInfoId=898473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</si>
  <si>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</si>
  <si>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</si>
  <si>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План закупки товаров, работ, услуг</t>
  </si>
  <si>
    <t>https://zakupki.gov.ru/epz/orderplan/purchase-plan/card/common-info.html?id=940178&amp;infoId=8113275</t>
  </si>
  <si>
    <t>Реестр договоров, заключенных заказчиками по результатам закупки</t>
  </si>
  <si>
    <t>https://zakupki.gov.ru/epz/contractfz223/search/results.html?searchString=1215020390&amp;morphology=on&amp;search-filter=%D0%94%D0%B0%D1%82%D0%B5+%D1%80%D0%B0%D0%B7%D0%BC%D0%B5%D1%89%D0%B5%D0%BD%D0%B8%D1%8F&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</si>
  <si>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</si>
  <si>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</si>
  <si>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</si>
  <si>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</si>
  <si>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</si>
  <si>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</si>
  <si>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</si>
  <si>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</si>
  <si>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</si>
  <si>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</si>
  <si>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</si>
  <si>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</si>
  <si>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</si>
  <si>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</si>
  <si>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</si>
  <si>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</si>
  <si>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</si>
  <si>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</si>
  <si>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</si>
  <si>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</si>
  <si>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</si>
  <si>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</si>
  <si>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</si>
  <si>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</si>
  <si>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</si>
  <si>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</si>
  <si>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</si>
  <si>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</si>
  <si>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</si>
  <si>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</si>
  <si>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</si>
  <si>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</si>
  <si>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</si>
  <si>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</si>
  <si>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</si>
  <si>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</si>
  <si>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</si>
  <si>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</si>
  <si>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</si>
  <si>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</si>
  <si>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</si>
  <si>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</si>
  <si>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</si>
  <si>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</si>
  <si>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</si>
  <si>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</si>
  <si>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</si>
  <si>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</si>
  <si>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</si>
  <si>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</si>
  <si>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</si>
  <si>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</si>
  <si>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</si>
  <si>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</si>
  <si>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</si>
  <si>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</si>
  <si>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</si>
  <si>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</si>
  <si>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</si>
  <si>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</si>
  <si>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</si>
  <si>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</si>
  <si>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</si>
  <si>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</si>
  <si>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</si>
  <si>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</si>
  <si>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</si>
  <si>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</si>
  <si>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</si>
  <si>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</si>
  <si>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</si>
  <si>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</si>
  <si>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</si>
  <si>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</si>
  <si>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</si>
  <si>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</si>
  <si>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</si>
  <si>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</si>
  <si>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</si>
  <si>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</si>
  <si>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</si>
  <si>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</si>
  <si>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</si>
  <si>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</si>
  <si>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</si>
  <si>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</si>
  <si>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</si>
  <si>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</si>
  <si>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</si>
  <si>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</si>
  <si>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</si>
  <si>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</si>
  <si>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</si>
  <si>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</si>
  <si>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</si>
  <si>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</si>
  <si>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</si>
  <si>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</si>
  <si>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</si>
  <si>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</si>
  <si>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</si>
  <si>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</si>
  <si>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</si>
  <si>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</si>
  <si>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</si>
  <si>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</si>
  <si>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</si>
  <si>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</si>
  <si>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</si>
  <si>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</si>
  <si>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</si>
  <si>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</si>
  <si>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</si>
  <si>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</si>
  <si>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</si>
  <si>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</si>
  <si>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</si>
  <si>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</si>
  <si>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</si>
  <si>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</si>
  <si>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</si>
  <si>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</si>
  <si>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</si>
  <si>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</si>
  <si>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</si>
  <si>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</si>
  <si>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</si>
  <si>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</si>
  <si>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</si>
  <si>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</si>
  <si>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</si>
  <si>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</si>
  <si>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</si>
  <si>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</si>
  <si>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</si>
  <si>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</si>
  <si>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</si>
  <si>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</si>
  <si>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</si>
  <si>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</si>
  <si>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</si>
  <si>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</si>
  <si>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</si>
  <si>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</si>
  <si>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</si>
  <si>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</si>
  <si>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</si>
  <si>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</si>
  <si>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</si>
  <si>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</si>
  <si>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</si>
  <si>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</si>
  <si>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</si>
  <si>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</si>
  <si>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</si>
  <si>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</si>
  <si>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</si>
  <si>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</si>
  <si>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</si>
  <si>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</si>
  <si>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</si>
  <si>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</si>
  <si>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</si>
  <si>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</si>
  <si>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</si>
  <si>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</si>
  <si>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</si>
  <si>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</si>
  <si>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</si>
  <si>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</si>
  <si>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</si>
  <si>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</si>
  <si>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</si>
  <si>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</si>
  <si>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</si>
  <si>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</si>
  <si>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</si>
  <si>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</si>
  <si>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</si>
  <si>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</si>
  <si>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</si>
  <si>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</si>
  <si>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</si>
  <si>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</si>
  <si>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</si>
  <si>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</si>
  <si>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</si>
  <si>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</si>
  <si>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</si>
  <si>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</si>
  <si>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</si>
  <si>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</si>
  <si>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</si>
  <si>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</si>
  <si>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</si>
  <si>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</si>
  <si>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</si>
  <si>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</si>
  <si>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</si>
  <si>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</si>
  <si>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</si>
  <si>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</si>
  <si>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</si>
  <si>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</si>
  <si>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</si>
  <si>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</si>
  <si>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</si>
  <si>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</si>
  <si>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</si>
  <si>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</si>
  <si>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</si>
  <si>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</si>
  <si>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</si>
  <si>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</si>
  <si>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</si>
  <si>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</si>
  <si>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</si>
  <si>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</si>
  <si>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</si>
  <si>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</si>
  <si>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</si>
  <si>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</si>
  <si>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</si>
  <si>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</si>
  <si>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</si>
  <si>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</si>
  <si>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</si>
  <si>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</si>
  <si>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</si>
  <si>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</si>
  <si>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</si>
  <si>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</si>
  <si>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</si>
  <si>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</si>
  <si>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</si>
  <si>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</si>
  <si>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</si>
  <si>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</si>
  <si>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</si>
  <si>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</si>
  <si>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</si>
  <si>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</si>
  <si>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</si>
  <si>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</si>
  <si>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</si>
  <si>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</si>
  <si>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</si>
  <si>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</si>
  <si>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</si>
  <si>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</si>
  <si>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</si>
  <si>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</si>
  <si>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</si>
  <si>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</si>
  <si>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</si>
  <si>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</si>
  <si>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</si>
  <si>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</si>
  <si>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</si>
  <si>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</si>
  <si>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</si>
  <si>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</si>
  <si>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</si>
  <si>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</si>
  <si>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</si>
  <si>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</si>
  <si>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</si>
  <si>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</si>
  <si>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</si>
  <si>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</si>
  <si>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</si>
  <si>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</si>
  <si>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</si>
  <si>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</si>
  <si>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</si>
  <si>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</si>
  <si>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</si>
  <si>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</si>
  <si>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</si>
  <si>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</si>
  <si>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</si>
  <si>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</si>
  <si>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</si>
  <si>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</si>
  <si>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</si>
  <si>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</si>
  <si>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</si>
  <si>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</si>
  <si>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</si>
  <si>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</si>
  <si>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</si>
  <si>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</si>
  <si>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</si>
  <si>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</si>
  <si>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</si>
  <si>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</si>
  <si>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</si>
  <si>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</si>
  <si>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</si>
  <si>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</si>
  <si>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</si>
  <si>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</si>
  <si>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</si>
  <si>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</si>
  <si>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</si>
  <si>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</si>
  <si>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</si>
  <si>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</si>
  <si>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</si>
  <si>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</si>
  <si>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</si>
  <si>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</si>
  <si>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</si>
  <si>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</si>
  <si>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</si>
  <si>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</si>
  <si>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</si>
  <si>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</si>
  <si>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</si>
  <si>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</si>
  <si>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</si>
  <si>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</si>
  <si>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</si>
  <si>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</si>
  <si>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</si>
  <si>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</si>
  <si>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</si>
  <si>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</si>
  <si>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</si>
  <si>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</si>
  <si>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</si>
  <si>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</si>
  <si>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</si>
  <si>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</si>
  <si>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</si>
  <si>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</si>
  <si>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</si>
  <si>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</si>
  <si>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</si>
  <si>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</si>
  <si>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</si>
  <si>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</si>
  <si>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</si>
  <si>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</si>
  <si>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</si>
  <si>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</si>
  <si>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</si>
  <si>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</si>
  <si>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</si>
  <si>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</si>
  <si>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</si>
  <si>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</si>
  <si>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</si>
  <si>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</si>
  <si>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</si>
  <si>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</si>
  <si>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</si>
  <si>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</si>
  <si>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</si>
  <si>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</si>
  <si>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</si>
  <si>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</si>
  <si>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</si>
  <si>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</si>
  <si>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</si>
  <si>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</si>
  <si>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</si>
  <si>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</si>
  <si>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</si>
  <si>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</si>
  <si>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</si>
  <si>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</si>
  <si>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</si>
  <si>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</si>
  <si>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</si>
  <si>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</si>
  <si>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</si>
  <si>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</si>
  <si>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</si>
  <si>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</si>
  <si>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</si>
  <si>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</si>
  <si>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</si>
  <si>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</si>
  <si>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</si>
  <si>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</si>
  <si>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</si>
  <si>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</si>
  <si>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</si>
  <si>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</si>
  <si>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</si>
  <si>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</si>
  <si>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</si>
  <si>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</si>
  <si>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</si>
  <si>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</si>
  <si>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</si>
  <si>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</si>
  <si>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</si>
  <si>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</si>
  <si>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</si>
  <si>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</si>
  <si>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</si>
  <si>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</si>
  <si>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</si>
  <si>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</si>
  <si>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</si>
  <si>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</si>
  <si>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</si>
  <si>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</si>
  <si>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</si>
  <si>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</si>
  <si>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</si>
  <si>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</si>
  <si>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</si>
  <si>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</si>
  <si>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</si>
  <si>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</si>
  <si>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</si>
  <si>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</si>
  <si>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</si>
  <si>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</si>
  <si>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</si>
  <si>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</si>
  <si>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</si>
  <si>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</si>
  <si>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</si>
  <si>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</si>
  <si>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</si>
  <si>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</si>
  <si>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</si>
  <si>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</si>
  <si>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</si>
  <si>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</si>
  <si>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</si>
  <si>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</si>
  <si>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</si>
  <si>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</si>
  <si>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</si>
  <si>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</si>
  <si>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</si>
  <si>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</si>
  <si>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</si>
  <si>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</si>
  <si>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</si>
  <si>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</si>
  <si>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</si>
  <si>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</si>
  <si>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</si>
  <si>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</si>
  <si>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</si>
  <si>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</si>
  <si>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</si>
  <si>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</si>
  <si>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</si>
  <si>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</si>
  <si>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</si>
  <si>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</si>
  <si>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</si>
  <si>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</si>
  <si>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</si>
  <si>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</si>
  <si>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</si>
  <si>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</si>
  <si>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</si>
  <si>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</si>
  <si>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</si>
  <si>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</si>
  <si>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</si>
  <si>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</si>
  <si>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</si>
  <si>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</si>
  <si>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</si>
  <si>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</si>
  <si>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</si>
  <si>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</si>
  <si>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</si>
  <si>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</si>
  <si>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</si>
  <si>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</si>
  <si>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</si>
  <si>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</si>
  <si>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</si>
  <si>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</si>
  <si>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</si>
  <si>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</si>
  <si>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</si>
  <si>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</si>
  <si>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</si>
  <si>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</si>
  <si>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</si>
  <si>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</si>
  <si>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</si>
  <si>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</si>
  <si>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</si>
  <si>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</si>
  <si>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</si>
  <si>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</si>
  <si>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</si>
  <si>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</si>
  <si>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</si>
  <si>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</si>
  <si>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</si>
  <si>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</si>
  <si>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</si>
  <si>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</si>
  <si>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</si>
  <si>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</si>
  <si>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</si>
  <si>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</si>
  <si>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</si>
  <si>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</si>
  <si>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</si>
  <si>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</si>
  <si>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</si>
  <si>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</si>
  <si>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</si>
  <si>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</si>
  <si>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</si>
  <si>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</si>
  <si>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</si>
  <si>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</si>
  <si>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</si>
  <si>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</si>
  <si>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</si>
  <si>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</si>
  <si>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</si>
  <si>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</si>
  <si>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</si>
  <si>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</si>
  <si>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</si>
  <si>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</si>
  <si>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</si>
  <si>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</si>
  <si>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</si>
  <si>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</si>
  <si>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</si>
  <si>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</si>
  <si>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</si>
  <si>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</si>
  <si>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</si>
  <si>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</si>
  <si>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</si>
  <si>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</si>
  <si>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</si>
  <si>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</si>
  <si>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</si>
  <si>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</si>
  <si>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</si>
  <si>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</si>
  <si>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</si>
  <si>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</si>
  <si>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</si>
  <si>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</si>
  <si>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</si>
  <si>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</si>
  <si>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</si>
  <si>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</si>
  <si>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</si>
  <si>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</si>
  <si>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</si>
  <si>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</si>
  <si>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</si>
  <si>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</si>
  <si>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</si>
  <si>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</si>
  <si>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</si>
  <si>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</si>
  <si>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</si>
  <si>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</si>
  <si>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</si>
  <si>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</si>
  <si>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</si>
  <si>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</si>
  <si>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</si>
  <si>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</si>
  <si>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</si>
  <si>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</si>
  <si>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</si>
  <si>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</si>
  <si>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</si>
  <si>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</si>
  <si>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</si>
  <si>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</si>
  <si>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</si>
  <si>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</si>
  <si>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</si>
  <si>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</si>
  <si>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</si>
  <si>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</si>
  <si>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</si>
  <si>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</si>
  <si>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</si>
  <si>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</si>
  <si>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</si>
  <si>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</si>
  <si>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</si>
  <si>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</si>
  <si>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</si>
  <si>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</si>
  <si>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</si>
  <si>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</si>
  <si>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</si>
  <si>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</si>
  <si>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</si>
  <si>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</si>
  <si>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</si>
  <si>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</si>
  <si>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</si>
  <si>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</si>
  <si>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</si>
  <si>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</si>
  <si>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</si>
  <si>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</si>
  <si>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</si>
  <si>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</si>
  <si>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</si>
  <si>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</si>
  <si>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</si>
  <si>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</si>
  <si>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</si>
  <si>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</si>
  <si>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</si>
  <si>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</si>
  <si>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</si>
  <si>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</si>
  <si>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</si>
  <si>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</si>
  <si>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</si>
  <si>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</si>
  <si>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</si>
  <si>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</si>
  <si>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</si>
  <si>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</si>
  <si>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</si>
  <si>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</si>
  <si>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</si>
  <si>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</si>
  <si>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</si>
  <si>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</si>
  <si>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</si>
  <si>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</si>
  <si>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</si>
  <si>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</si>
  <si>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</si>
  <si>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</si>
  <si>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</si>
  <si>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</si>
  <si>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</si>
  <si>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</si>
  <si>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</si>
  <si>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</si>
  <si>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</si>
  <si>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</si>
  <si>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</si>
  <si>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</si>
  <si>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</si>
  <si>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</si>
  <si>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</si>
  <si>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</si>
  <si>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</si>
  <si>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</si>
  <si>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</si>
  <si>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</si>
  <si>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</si>
  <si>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</si>
  <si>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</si>
  <si>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</si>
  <si>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</si>
  <si>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</si>
  <si>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</si>
  <si>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</si>
  <si>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</si>
  <si>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</si>
  <si>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</si>
  <si>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</si>
  <si>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</si>
  <si>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</si>
  <si>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</si>
  <si>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</si>
  <si>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</si>
  <si>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</si>
  <si>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</si>
  <si>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</si>
  <si>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</si>
  <si>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</si>
  <si>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</si>
  <si>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</si>
  <si>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</si>
  <si>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</si>
  <si>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</si>
  <si>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</si>
  <si>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</si>
  <si>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</si>
  <si>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</si>
  <si>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</si>
  <si>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</si>
  <si>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</si>
  <si>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</si>
  <si>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</si>
  <si>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</si>
  <si>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</si>
  <si>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</si>
  <si>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</si>
  <si>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</si>
  <si>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</si>
  <si>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</si>
  <si>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</si>
  <si>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</si>
  <si>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</si>
  <si>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</si>
  <si>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</si>
  <si>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</si>
  <si>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</si>
  <si>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</si>
  <si>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</si>
  <si>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</si>
  <si>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</si>
  <si>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</si>
  <si>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</si>
  <si>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</si>
  <si>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</si>
  <si>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</si>
  <si>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</si>
  <si>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</si>
  <si>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</si>
  <si>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</si>
  <si>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</si>
  <si>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</si>
  <si>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</si>
  <si>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</si>
  <si>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</si>
  <si>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</si>
  <si>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</si>
  <si>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</si>
  <si>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</si>
  <si>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Во вкладе Титульный лист дата подачи заявления разная 1005 от 23.04.2024, 1062 от 26.04.2024</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</si>
  <si>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</si>
  <si>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</si>
  <si>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</si>
  <si>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</si>
  <si>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</si>
  <si>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</si>
  <si>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</si>
  <si>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</si>
  <si>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</si>
  <si>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</si>
  <si>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</si>
  <si>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</si>
  <si>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</si>
  <si>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</si>
  <si>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</si>
  <si>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</si>
  <si>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</si>
  <si>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</si>
  <si>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</si>
  <si>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</si>
  <si>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</si>
  <si>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</si>
  <si>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</si>
  <si>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</si>
  <si>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</si>
  <si>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</si>
  <si>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</si>
  <si>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</si>
  <si>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</si>
  <si>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</si>
  <si>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</si>
  <si>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</si>
  <si>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</si>
  <si>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</si>
  <si>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</si>
  <si>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</si>
  <si>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</si>
  <si>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</si>
  <si>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</si>
  <si>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</si>
  <si>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</si>
  <si>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</si>
  <si>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</si>
  <si>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</si>
  <si>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</si>
  <si>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</si>
  <si>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</si>
  <si>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</si>
  <si>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</si>
  <si>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</si>
  <si>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</si>
  <si>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</si>
  <si>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</si>
  <si>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</si>
  <si>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</si>
  <si>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</si>
  <si>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</si>
  <si>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</si>
  <si>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</si>
  <si>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</si>
  <si>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</si>
  <si>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</si>
  <si>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</si>
  <si>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</si>
  <si>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</si>
  <si>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</si>
  <si>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</si>
  <si>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</si>
  <si>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</si>
  <si>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</si>
  <si>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</si>
  <si>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</si>
  <si>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</si>
  <si>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</si>
  <si>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</si>
  <si>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</si>
  <si>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</si>
  <si>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</si>
  <si>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</si>
  <si>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</si>
  <si>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</si>
  <si>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</si>
  <si>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</si>
  <si>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</si>
  <si>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</si>
  <si>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</si>
  <si>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</si>
  <si>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</si>
  <si>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</si>
  <si>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</si>
  <si>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</si>
  <si>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</si>
  <si>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</si>
  <si>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</si>
  <si>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</si>
  <si>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</si>
  <si>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</si>
  <si>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</si>
  <si>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</si>
  <si>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</si>
  <si>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</si>
  <si>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</si>
  <si>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</si>
  <si>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</si>
  <si>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</si>
  <si>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</si>
  <si>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</si>
  <si>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</si>
  <si>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</si>
  <si>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</si>
  <si>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</si>
  <si>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</si>
  <si>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</si>
  <si>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</si>
  <si>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</si>
  <si>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</si>
  <si>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</si>
  <si>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</si>
  <si>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</si>
  <si>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</si>
  <si>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</si>
  <si>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</si>
  <si>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</si>
  <si>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</si>
  <si>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</si>
  <si>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</si>
  <si>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</si>
  <si>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</si>
  <si>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</si>
  <si>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</si>
  <si>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</si>
  <si>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</si>
  <si>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</si>
  <si>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</si>
  <si>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</si>
  <si>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</si>
  <si>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</si>
  <si>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</si>
  <si>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</si>
  <si>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</si>
  <si>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</si>
  <si>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</si>
  <si>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</si>
  <si>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</si>
  <si>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</si>
  <si>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</si>
  <si>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</si>
  <si>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</si>
  <si>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</si>
  <si>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</si>
  <si>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</si>
  <si>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</si>
  <si>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</si>
  <si>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</si>
  <si>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</si>
  <si>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</si>
  <si>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</si>
  <si>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</si>
  <si>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</si>
  <si>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</si>
  <si>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</si>
  <si>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</si>
  <si>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</si>
  <si>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</si>
  <si>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</si>
  <si>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</si>
  <si>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</si>
  <si>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</si>
  <si>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</si>
  <si>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</si>
  <si>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</si>
  <si>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</si>
  <si>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</si>
  <si>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</si>
  <si>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</si>
  <si>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</si>
  <si>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</si>
  <si>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</si>
  <si>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</si>
  <si>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</si>
  <si>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</si>
  <si>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</si>
  <si>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</si>
  <si>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</si>
  <si>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</si>
  <si>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</si>
  <si>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</si>
  <si>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</si>
  <si>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</si>
  <si>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</si>
  <si>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</si>
  <si>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</si>
  <si>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</si>
  <si>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</si>
  <si>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</si>
  <si>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</si>
  <si>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</si>
  <si>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</si>
  <si>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</si>
  <si>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</si>
  <si>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</si>
  <si>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</si>
  <si>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</si>
  <si>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</si>
  <si>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</si>
  <si>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</si>
  <si>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</si>
  <si>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</si>
  <si>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</si>
  <si>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</si>
  <si>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</si>
  <si>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</si>
  <si>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</si>
  <si>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</si>
  <si>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</si>
  <si>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</si>
  <si>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</si>
  <si>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</si>
  <si>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</si>
  <si>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</si>
  <si>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</si>
  <si>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</si>
  <si>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</si>
  <si>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</si>
  <si>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</si>
  <si>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</si>
  <si>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</si>
  <si>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</si>
  <si>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</si>
  <si>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</si>
  <si>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</si>
  <si>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</si>
  <si>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</si>
  <si>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</si>
  <si>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</si>
  <si>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</si>
  <si>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</si>
  <si>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</si>
  <si>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</si>
  <si>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</si>
  <si>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</si>
  <si>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</si>
  <si>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</si>
  <si>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</si>
  <si>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</si>
  <si>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</si>
  <si>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</si>
  <si>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</si>
  <si>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</si>
  <si>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</si>
  <si>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</si>
  <si>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</si>
  <si>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</si>
  <si>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</si>
  <si>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</si>
  <si>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</si>
  <si>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</si>
  <si>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</si>
  <si>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</si>
  <si>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</si>
  <si>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</si>
  <si>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</si>
  <si>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</si>
  <si>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</si>
  <si>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</si>
  <si>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</si>
  <si>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</si>
  <si>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</si>
  <si>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</si>
  <si>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</si>
  <si>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</si>
  <si>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</si>
  <si>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</si>
  <si>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</si>
  <si>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</si>
  <si>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</si>
  <si>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</si>
  <si>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</si>
  <si>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</si>
  <si>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</si>
  <si>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</si>
  <si>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</si>
  <si>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</si>
  <si>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</si>
  <si>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</si>
  <si>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</si>
  <si>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</si>
  <si>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</si>
  <si>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</si>
  <si>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</si>
  <si>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</si>
  <si>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</si>
  <si>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</si>
  <si>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</si>
  <si>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</si>
  <si>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</si>
  <si>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</si>
  <si>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</si>
  <si>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</si>
  <si>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</si>
  <si>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</si>
  <si>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</si>
  <si>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</si>
  <si>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</si>
  <si>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</si>
  <si>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</si>
  <si>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</si>
  <si>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</si>
  <si>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</si>
  <si>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</si>
  <si>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</si>
  <si>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</si>
  <si>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</si>
  <si>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</si>
  <si>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</si>
  <si>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</si>
  <si>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</si>
  <si>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</si>
  <si>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</si>
  <si>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</si>
  <si>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</si>
  <si>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</si>
  <si>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</si>
  <si>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</si>
  <si>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</si>
  <si>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</si>
  <si>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</si>
  <si>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</si>
  <si>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</si>
  <si>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</si>
  <si>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</si>
  <si>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</si>
  <si>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</si>
  <si>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</si>
  <si>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</si>
  <si>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</si>
  <si>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</si>
  <si>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</si>
  <si>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</si>
  <si>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</si>
  <si>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</si>
  <si>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</si>
  <si>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</si>
  <si>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</si>
  <si>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</si>
  <si>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</si>
  <si>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</si>
  <si>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2629</t>
  </si>
  <si>
    <t>30791606</t>
  </si>
  <si>
    <t>АО "ГУ ЖКХ"</t>
  </si>
  <si>
    <t>5116000922</t>
  </si>
  <si>
    <t>166045001</t>
  </si>
  <si>
    <t>30335229</t>
  </si>
  <si>
    <t>770401001</t>
  </si>
  <si>
    <t>27681548</t>
  </si>
  <si>
    <t>АО "Деревообрабатывающий завод"</t>
  </si>
  <si>
    <t>1215013266</t>
  </si>
  <si>
    <t>31734751</t>
  </si>
  <si>
    <t>АО "Йошкар-Олинская ТЭЦ-1"</t>
  </si>
  <si>
    <t>1200013440</t>
  </si>
  <si>
    <t>120001001</t>
  </si>
  <si>
    <t>01-02-2024 00:00:00</t>
  </si>
  <si>
    <t>26354131</t>
  </si>
  <si>
    <t>АО "Марийский машиностроительный завод" п. Луговой</t>
  </si>
  <si>
    <t>1200001885</t>
  </si>
  <si>
    <t>121550001</t>
  </si>
  <si>
    <t>31734034</t>
  </si>
  <si>
    <t>ГАУ РМЭ "Санаторий "Сосновый бор"</t>
  </si>
  <si>
    <t>1200012950</t>
  </si>
  <si>
    <t>12-12-2023 00:00:00</t>
  </si>
  <si>
    <t>28053908</t>
  </si>
  <si>
    <t>ГУП РМЭ "Оздоровительный комплекс Шап"</t>
  </si>
  <si>
    <t>1207010230</t>
  </si>
  <si>
    <t>120701001</t>
  </si>
  <si>
    <t>31741548</t>
  </si>
  <si>
    <t>МАУ ЖКХ "Юринский район"</t>
  </si>
  <si>
    <t>1200013520</t>
  </si>
  <si>
    <t>08-02-2024 00:00:00</t>
  </si>
  <si>
    <t>МИНИСТЕРСТВО ПРОМЫШЛЕННОСТИ, ЭКОНОМИЧЕСКОГО РАЗВИТИЯ И ТОРГОВЛИ РЕСПУБЛИКИ МАРИЙ ЭЛ</t>
  </si>
  <si>
    <t>1215107796</t>
  </si>
  <si>
    <t>26354111</t>
  </si>
  <si>
    <t>МКП "Тепловые сети" Волжского муниципального района</t>
  </si>
  <si>
    <t>1201004423</t>
  </si>
  <si>
    <t>120101001</t>
  </si>
  <si>
    <t>06-02-2006 00:00:00</t>
  </si>
  <si>
    <t>31196260</t>
  </si>
  <si>
    <t>МКУП городского поселения Советский "Спектр"</t>
  </si>
  <si>
    <t>1213005291</t>
  </si>
  <si>
    <t>121301001</t>
  </si>
  <si>
    <t>26429817</t>
  </si>
  <si>
    <t>МП "Куженерводоканал"</t>
  </si>
  <si>
    <t>1205003413</t>
  </si>
  <si>
    <t>120501001</t>
  </si>
  <si>
    <t>06-10-2005 00:00:00</t>
  </si>
  <si>
    <t>26354135</t>
  </si>
  <si>
    <t>МП "Троллейбусный транспорт"</t>
  </si>
  <si>
    <t>1215015760</t>
  </si>
  <si>
    <t>21-06-2003 00:00:00</t>
  </si>
  <si>
    <t>31237473</t>
  </si>
  <si>
    <t>МУП "Горномарийский"</t>
  </si>
  <si>
    <t>1223000574</t>
  </si>
  <si>
    <t>122301001</t>
  </si>
  <si>
    <t>16-10-2018 00:00:00</t>
  </si>
  <si>
    <t>26354125</t>
  </si>
  <si>
    <t>МУП "Оршанский жилкомсервис"</t>
  </si>
  <si>
    <t>1210003546</t>
  </si>
  <si>
    <t>121001001</t>
  </si>
  <si>
    <t>19-10-2006 00:00:00</t>
  </si>
  <si>
    <t>28966531</t>
  </si>
  <si>
    <t>МУП "ТеплоВодоканал" Килемарского муниципального района</t>
  </si>
  <si>
    <t>1204000106</t>
  </si>
  <si>
    <t>120401001</t>
  </si>
  <si>
    <t>26354129</t>
  </si>
  <si>
    <t>ОАО "Марбиофарм"</t>
  </si>
  <si>
    <t>1215001662</t>
  </si>
  <si>
    <t>15-12-2002 00:00:00</t>
  </si>
  <si>
    <t>26354118</t>
  </si>
  <si>
    <t>ОАО "Марий Эл Дорстрой" Медведевский филиал</t>
  </si>
  <si>
    <t>1215154154</t>
  </si>
  <si>
    <t>04-09-1996 00:00:00</t>
  </si>
  <si>
    <t>26354106</t>
  </si>
  <si>
    <t>ОАО "Марийскавтодор"</t>
  </si>
  <si>
    <t>1215147005</t>
  </si>
  <si>
    <t>26416439</t>
  </si>
  <si>
    <t>ОАО "Марийский ЦБК"</t>
  </si>
  <si>
    <t>1216010765</t>
  </si>
  <si>
    <t>121601001</t>
  </si>
  <si>
    <t>09-10-2002 00:00:00</t>
  </si>
  <si>
    <t>26354136</t>
  </si>
  <si>
    <t>ОАО "Стройкерамика"</t>
  </si>
  <si>
    <t>1215017479</t>
  </si>
  <si>
    <t>27-06-2002 00:00:00</t>
  </si>
  <si>
    <t>28426349</t>
  </si>
  <si>
    <t>ООО "Автотест"</t>
  </si>
  <si>
    <t>1215108574</t>
  </si>
  <si>
    <t>28873113</t>
  </si>
  <si>
    <t>ООО "Атекс"</t>
  </si>
  <si>
    <t>1208007342</t>
  </si>
  <si>
    <t>120801001</t>
  </si>
  <si>
    <t>26370664</t>
  </si>
  <si>
    <t>ООО "ВодоканалCервис"</t>
  </si>
  <si>
    <t>1213005220</t>
  </si>
  <si>
    <t>15-10-2008 00:00:00</t>
  </si>
  <si>
    <t>31043736</t>
  </si>
  <si>
    <t>ООО "Газэнергосистемы"</t>
  </si>
  <si>
    <t>1215093952</t>
  </si>
  <si>
    <t>18-03-2004 00:00:00</t>
  </si>
  <si>
    <t>30385291</t>
  </si>
  <si>
    <t>ООО "ЖилКом-Сервис"</t>
  </si>
  <si>
    <t>1211004870</t>
  </si>
  <si>
    <t>121101001</t>
  </si>
  <si>
    <t>26433648</t>
  </si>
  <si>
    <t>ООО "Жилищный сервис"</t>
  </si>
  <si>
    <t>1206004441</t>
  </si>
  <si>
    <t>120601001</t>
  </si>
  <si>
    <t>08-12-2005 00:00:00</t>
  </si>
  <si>
    <t>27900079</t>
  </si>
  <si>
    <t>ООО "МТсК"</t>
  </si>
  <si>
    <t>1215165477</t>
  </si>
  <si>
    <t>19-07-2012 00:00:00</t>
  </si>
  <si>
    <t>26354151</t>
  </si>
  <si>
    <t>ООО "Марикоммунэнерго"</t>
  </si>
  <si>
    <t>1215126037</t>
  </si>
  <si>
    <t>09-11-2007 00:00:00</t>
  </si>
  <si>
    <t>26653859</t>
  </si>
  <si>
    <t>ООО "Моркинский ТеплоЭнергоСервис"</t>
  </si>
  <si>
    <t>1208007399</t>
  </si>
  <si>
    <t>28040479</t>
  </si>
  <si>
    <t>ООО "Ресурс"</t>
  </si>
  <si>
    <t>1207014851</t>
  </si>
  <si>
    <t>30811204</t>
  </si>
  <si>
    <t>ООО "Ресурс-1"</t>
  </si>
  <si>
    <t>1207021231</t>
  </si>
  <si>
    <t>26516262</t>
  </si>
  <si>
    <t>ООО "Сантехремонт"</t>
  </si>
  <si>
    <t>1209005281</t>
  </si>
  <si>
    <t>120901001</t>
  </si>
  <si>
    <t>02-02-2009 00:00:00</t>
  </si>
  <si>
    <t>26354145</t>
  </si>
  <si>
    <t>ООО "Стройтерм"</t>
  </si>
  <si>
    <t>1215065970</t>
  </si>
  <si>
    <t>31210441</t>
  </si>
  <si>
    <t>ООО "ТеплоЭнерго"</t>
  </si>
  <si>
    <t>1218001484</t>
  </si>
  <si>
    <t>121801001</t>
  </si>
  <si>
    <t>06-12-2017 00:00:00</t>
  </si>
  <si>
    <t>28465093</t>
  </si>
  <si>
    <t>ООО Домоуправление-11</t>
  </si>
  <si>
    <t>1215131654</t>
  </si>
  <si>
    <t>26653830</t>
  </si>
  <si>
    <t>ООО Завод СтройМатериалов "ВнешЭкономИнвест"</t>
  </si>
  <si>
    <t>1217005084</t>
  </si>
  <si>
    <t>121701001</t>
  </si>
  <si>
    <t>27261818</t>
  </si>
  <si>
    <t>ООО МУК "Жилкомсервис"</t>
  </si>
  <si>
    <t>1202004240</t>
  </si>
  <si>
    <t>30923106</t>
  </si>
  <si>
    <t>ООО НПФ "Энергетик"</t>
  </si>
  <si>
    <t>1215099986</t>
  </si>
  <si>
    <t>28-01-2005 00:00:00</t>
  </si>
  <si>
    <t>27264808</t>
  </si>
  <si>
    <t>ООО ПСО "Стройтепломонтаж"</t>
  </si>
  <si>
    <t>1207004388</t>
  </si>
  <si>
    <t>21-04-1997 00:00:00</t>
  </si>
  <si>
    <t>30436694</t>
  </si>
  <si>
    <t>ООО Хлебный дар</t>
  </si>
  <si>
    <t>1215130900</t>
  </si>
  <si>
    <t>31398008</t>
  </si>
  <si>
    <t>ООО фирма "Радан"</t>
  </si>
  <si>
    <t>1215006685</t>
  </si>
  <si>
    <t>28830489</t>
  </si>
  <si>
    <t>ПАО "Т плюс" Филиал « Марий Эл и Чувашии»</t>
  </si>
  <si>
    <t>6315376946</t>
  </si>
  <si>
    <t>213043001</t>
  </si>
  <si>
    <t>26354124</t>
  </si>
  <si>
    <t>ПК "Моркинская ПМК"</t>
  </si>
  <si>
    <t>1208001968</t>
  </si>
  <si>
    <t>21-09-2000 00:00:00</t>
  </si>
  <si>
    <t>26354127</t>
  </si>
  <si>
    <t>ПК "Советская ПМК"</t>
  </si>
  <si>
    <t>1213002702</t>
  </si>
  <si>
    <t>26354110</t>
  </si>
  <si>
    <t>Учреждение Санаторий "Кленовая гора"</t>
  </si>
  <si>
    <t>1201000450</t>
  </si>
  <si>
    <t>17-09-1999 00:00:00</t>
  </si>
  <si>
    <t>27568596</t>
  </si>
  <si>
    <t>ФБУ ИК-6 УФСИН России по РМЭ</t>
  </si>
  <si>
    <t>1215061478</t>
  </si>
  <si>
    <t>30903763</t>
  </si>
  <si>
    <t>ФГБУ "ЦЖКУ" МИНОБОРОНЫ РОССИИ</t>
  </si>
  <si>
    <t>7729314745</t>
  </si>
  <si>
    <t>770101001</t>
  </si>
  <si>
    <t>28426335</t>
  </si>
  <si>
    <t>ФГКУ "Авиационная база"</t>
  </si>
  <si>
    <t>1200001370</t>
  </si>
  <si>
    <t>26354107</t>
  </si>
  <si>
    <t>ФГКУ "Войсковая часть 95504"</t>
  </si>
  <si>
    <t>1200000715</t>
  </si>
  <si>
    <t>10-11-2002 00:00:00</t>
  </si>
  <si>
    <t>26419376</t>
  </si>
  <si>
    <t>ФКУ "База материально технического и военного снабжения УФСИН по Республике Марий Эл"</t>
  </si>
  <si>
    <t>1215079852</t>
  </si>
  <si>
    <t>07-02-2006 00:00:00</t>
  </si>
  <si>
    <t>31638247</t>
  </si>
  <si>
    <t>ФКУ "ИК-3 УФСИН России по Республике Марий Эл"</t>
  </si>
  <si>
    <t>1207000288</t>
  </si>
  <si>
    <t>11-06-1999 00:00:00</t>
  </si>
  <si>
    <t>31638522</t>
  </si>
  <si>
    <t>ФКУ "КП-7 УФСИН России по Республике Марий Эл"</t>
  </si>
  <si>
    <t>1215056037</t>
  </si>
  <si>
    <t>30-04-2021 00:00:00</t>
  </si>
  <si>
    <t>26373663</t>
  </si>
  <si>
    <t>Филиал ООО "Газпром трансгаз Нижний Новгород" - Волжское ЛПУМГ</t>
  </si>
  <si>
    <t>5260080007</t>
  </si>
  <si>
    <t>120102001</t>
  </si>
  <si>
    <t>30-06-1999 00:00:00</t>
  </si>
  <si>
    <t>30914574</t>
  </si>
  <si>
    <t>Филиал ФГБУ "ЦЖКУ" МИНОБОРОНЫ РОССИИ (по ЦВО)</t>
  </si>
  <si>
    <t>667043001</t>
  </si>
  <si>
    <t>28980669</t>
  </si>
  <si>
    <t>Публичное акционерное общество "Т Плюс", Красногорский район Московской области</t>
  </si>
  <si>
    <t>502401001</t>
  </si>
  <si>
    <t>08-07-2015 00:00:00</t>
  </si>
  <si>
    <t>26783310</t>
  </si>
  <si>
    <t>АО "Водоканал" г.Волжск</t>
  </si>
  <si>
    <t>1216020386</t>
  </si>
  <si>
    <t>31-12-2010 00:00:00</t>
  </si>
  <si>
    <t>26654196</t>
  </si>
  <si>
    <t>АО "Красногорский завод "Электродвигатель"</t>
  </si>
  <si>
    <t>1203003778</t>
  </si>
  <si>
    <t>120301001</t>
  </si>
  <si>
    <t>26370671</t>
  </si>
  <si>
    <t>Ассоциация водоснабженцев Параньгинского района  "Чистая вода"</t>
  </si>
  <si>
    <t>1211003644</t>
  </si>
  <si>
    <t>11-11-2005 00:00:00</t>
  </si>
  <si>
    <t>26811422</t>
  </si>
  <si>
    <t>ГБУ РМЭ "Кокшайский дом-интернат для престарелых и инвалидов"</t>
  </si>
  <si>
    <t>1215054946</t>
  </si>
  <si>
    <t>18-06-1997 00:00:00</t>
  </si>
  <si>
    <t>26580069</t>
  </si>
  <si>
    <t>ЗАО "Мари-Турексельхозхимия"</t>
  </si>
  <si>
    <t>1206000119</t>
  </si>
  <si>
    <t>05-07-1996 00:00:00</t>
  </si>
  <si>
    <t>26654233</t>
  </si>
  <si>
    <t>ЗАО "Ронгинское торфобрикетное предприятие"</t>
  </si>
  <si>
    <t>1213000046</t>
  </si>
  <si>
    <t>26654245</t>
  </si>
  <si>
    <t>ЗАО "Сердежское"</t>
  </si>
  <si>
    <t>1212003943</t>
  </si>
  <si>
    <t>121201001</t>
  </si>
  <si>
    <t>05-12-2003 00:00:00</t>
  </si>
  <si>
    <t>31310792</t>
  </si>
  <si>
    <t>МУП "АКВА-СЕРВИС"</t>
  </si>
  <si>
    <t>1225001083</t>
  </si>
  <si>
    <t>122501001</t>
  </si>
  <si>
    <t>21-03-2019 00:00:00</t>
  </si>
  <si>
    <t>31504096</t>
  </si>
  <si>
    <t>МУП "Водоканал Оршанка"</t>
  </si>
  <si>
    <t>1218003379</t>
  </si>
  <si>
    <t>08-04-2021 00:00:00</t>
  </si>
  <si>
    <t>26370649</t>
  </si>
  <si>
    <t>1201004448</t>
  </si>
  <si>
    <t>05-02-2006 00:00:00</t>
  </si>
  <si>
    <t>26370672</t>
  </si>
  <si>
    <t>1211003683</t>
  </si>
  <si>
    <t>28-02-2008 00:00:00</t>
  </si>
  <si>
    <t>31193646</t>
  </si>
  <si>
    <t>1223000528</t>
  </si>
  <si>
    <t>30833974</t>
  </si>
  <si>
    <t>МУП "Водоканал" - Килемарский район</t>
  </si>
  <si>
    <t>1204003890</t>
  </si>
  <si>
    <t>28821368</t>
  </si>
  <si>
    <t>МУП "Водоканал" Мари - Турекского муниципального района</t>
  </si>
  <si>
    <t>1206005678</t>
  </si>
  <si>
    <t>31261760</t>
  </si>
  <si>
    <t>МУП "Водоканал" г.Звенигово""  МО "Городское поселение Звенигово"</t>
  </si>
  <si>
    <t>1225000918</t>
  </si>
  <si>
    <t>22-08-2018 00:00:00</t>
  </si>
  <si>
    <t>28058909</t>
  </si>
  <si>
    <t>МУП "Заря"</t>
  </si>
  <si>
    <t>1202008710</t>
  </si>
  <si>
    <t>27-07-2012 00:00:00</t>
  </si>
  <si>
    <t>26370669</t>
  </si>
  <si>
    <t>МУП "Новоторъяльский водоканал"</t>
  </si>
  <si>
    <t>1209004880</t>
  </si>
  <si>
    <t>30-10-2006 00:00:00</t>
  </si>
  <si>
    <t>26370673</t>
  </si>
  <si>
    <t>МУП "Сернурводоканал"</t>
  </si>
  <si>
    <t>1212003615</t>
  </si>
  <si>
    <t>16-07-2002 00:00:00</t>
  </si>
  <si>
    <t>26354121</t>
  </si>
  <si>
    <t>ОАО "Медведевский водоканал"</t>
  </si>
  <si>
    <t>1207011240</t>
  </si>
  <si>
    <t>12-01-2009 00:00:00</t>
  </si>
  <si>
    <t>31218553</t>
  </si>
  <si>
    <t>ООО ""МАРСЕЛЬХОЗАРТЕЛЬ"</t>
  </si>
  <si>
    <t>1206004145</t>
  </si>
  <si>
    <t>14-01-2003 00:00:00</t>
  </si>
  <si>
    <t>26811376</t>
  </si>
  <si>
    <t>ООО "Аспект"</t>
  </si>
  <si>
    <t>1203008416</t>
  </si>
  <si>
    <t>29649760</t>
  </si>
  <si>
    <t>ООО "Базис М"</t>
  </si>
  <si>
    <t>1215142864</t>
  </si>
  <si>
    <t>30991873</t>
  </si>
  <si>
    <t>ООО "ВКБ-ЭКО"</t>
  </si>
  <si>
    <t>1225000682</t>
  </si>
  <si>
    <t>21-04-2017 00:00:00</t>
  </si>
  <si>
    <t>27261804</t>
  </si>
  <si>
    <t>ООО "Водоканал-Китунькино"</t>
  </si>
  <si>
    <t>1201005804</t>
  </si>
  <si>
    <t>12-12-2010 00:00:00</t>
  </si>
  <si>
    <t>27260773</t>
  </si>
  <si>
    <t>ООО "Водоканал-Малое Иваново"</t>
  </si>
  <si>
    <t>1201005836</t>
  </si>
  <si>
    <t>13-12-2010 00:00:00</t>
  </si>
  <si>
    <t>27269965</t>
  </si>
  <si>
    <t>ООО "Еласовское водоснабжение"</t>
  </si>
  <si>
    <t>1202008237</t>
  </si>
  <si>
    <t>120201001</t>
  </si>
  <si>
    <t>26550045</t>
  </si>
  <si>
    <t>ООО "Жилкомсервис"</t>
  </si>
  <si>
    <t>1208006980</t>
  </si>
  <si>
    <t>18-12-2009 00:00:00</t>
  </si>
  <si>
    <t>27592250</t>
  </si>
  <si>
    <t>ООО "Жилтехник"</t>
  </si>
  <si>
    <t>1204003629</t>
  </si>
  <si>
    <t>28932339</t>
  </si>
  <si>
    <t>ООО "Колодец"</t>
  </si>
  <si>
    <t>1202008854</t>
  </si>
  <si>
    <t>28273271</t>
  </si>
  <si>
    <t>ООО "Крестьянское подворье-АГРО"</t>
  </si>
  <si>
    <t>1207010656</t>
  </si>
  <si>
    <t>08-05-2008 00:00:00</t>
  </si>
  <si>
    <t>31379031</t>
  </si>
  <si>
    <t>ООО "Кужмарские коммунальные сети"</t>
  </si>
  <si>
    <t>1225001100</t>
  </si>
  <si>
    <t>12-01-2020 00:00:00</t>
  </si>
  <si>
    <t>31723744</t>
  </si>
  <si>
    <t>ООО "Моркинская жилищная компания"</t>
  </si>
  <si>
    <t>1225000065</t>
  </si>
  <si>
    <t>05-02-2015 00:00:00</t>
  </si>
  <si>
    <t>28979974</t>
  </si>
  <si>
    <t>ООО "Озеркинский водоканал"</t>
  </si>
  <si>
    <t>1202008910</t>
  </si>
  <si>
    <t>27753491</t>
  </si>
  <si>
    <t>ООО "Пайгусовское водоснабжение"</t>
  </si>
  <si>
    <t>1202008364</t>
  </si>
  <si>
    <t>27753455</t>
  </si>
  <si>
    <t>ООО "Посейдон"</t>
  </si>
  <si>
    <t>1202008621</t>
  </si>
  <si>
    <t>100201001</t>
  </si>
  <si>
    <t>12-10-2011 00:00:00</t>
  </si>
  <si>
    <t>31193637</t>
  </si>
  <si>
    <t>ООО "Птицефабрика "Приволжская"</t>
  </si>
  <si>
    <t>1224003923</t>
  </si>
  <si>
    <t>122401001</t>
  </si>
  <si>
    <t>31668470</t>
  </si>
  <si>
    <t>ООО "Птицефабрика Горномарийская"</t>
  </si>
  <si>
    <t>1200009186</t>
  </si>
  <si>
    <t>28-02-2023 00:00:00</t>
  </si>
  <si>
    <t>28965879</t>
  </si>
  <si>
    <t>ООО "Пятерочка"</t>
  </si>
  <si>
    <t>1203005817</t>
  </si>
  <si>
    <t>26796330</t>
  </si>
  <si>
    <t>ООО "Ремонтно-строительный участок"</t>
  </si>
  <si>
    <t>1207010960</t>
  </si>
  <si>
    <t>28821999</t>
  </si>
  <si>
    <t>ООО "СТР Профит"</t>
  </si>
  <si>
    <t>1209005274</t>
  </si>
  <si>
    <t>31743322</t>
  </si>
  <si>
    <t>ООО "Тамбовский бройлер"</t>
  </si>
  <si>
    <t>6821000393</t>
  </si>
  <si>
    <t>120045001</t>
  </si>
  <si>
    <t>27-11-2019 00:00:00</t>
  </si>
  <si>
    <t>28820054</t>
  </si>
  <si>
    <t>ООО "Хлебниковское"</t>
  </si>
  <si>
    <t>1206004427</t>
  </si>
  <si>
    <t>26654254</t>
  </si>
  <si>
    <t>ООО "Холдинг Морки"</t>
  </si>
  <si>
    <t>1208006941</t>
  </si>
  <si>
    <t>09-12-2009 00:00:00</t>
  </si>
  <si>
    <t>26579773</t>
  </si>
  <si>
    <t>ООО "Чапаевское"</t>
  </si>
  <si>
    <t>1202006649</t>
  </si>
  <si>
    <t>25-02-2005 00:00:00</t>
  </si>
  <si>
    <t>26796653</t>
  </si>
  <si>
    <t>ООО "Шойбулакское"</t>
  </si>
  <si>
    <t>1207011321</t>
  </si>
  <si>
    <t>26579789</t>
  </si>
  <si>
    <t>ООО Агрофирма "Акпарс"</t>
  </si>
  <si>
    <t>1206004635</t>
  </si>
  <si>
    <t>02-05-2006 00:00:00</t>
  </si>
  <si>
    <t>30435063</t>
  </si>
  <si>
    <t>ООО Аква-МУС</t>
  </si>
  <si>
    <t>1203010260</t>
  </si>
  <si>
    <t>26427270</t>
  </si>
  <si>
    <t>ООО Медведевская управляющая компания "ЭксЖилФонд"</t>
  </si>
  <si>
    <t>1207009065</t>
  </si>
  <si>
    <t>09-10-2006 00:00:00</t>
  </si>
  <si>
    <t>27264863</t>
  </si>
  <si>
    <t>ООО РЭК "Жилкомсервис"</t>
  </si>
  <si>
    <t>1207008738</t>
  </si>
  <si>
    <t>26587397</t>
  </si>
  <si>
    <t>ПК "Емешевский"</t>
  </si>
  <si>
    <t>1202008100</t>
  </si>
  <si>
    <t>22-04-2010 00:00:00</t>
  </si>
  <si>
    <t>26540336</t>
  </si>
  <si>
    <t>ПК СХА (колхоз) "Искра"</t>
  </si>
  <si>
    <t>1205002674</t>
  </si>
  <si>
    <t>19-11-1998 00:00:00</t>
  </si>
  <si>
    <t>26436096</t>
  </si>
  <si>
    <t>ПО "Даниловское"</t>
  </si>
  <si>
    <t>1215027406</t>
  </si>
  <si>
    <t>02-03-2001 00:00:00</t>
  </si>
  <si>
    <t>27753467</t>
  </si>
  <si>
    <t>СПК "Волга"</t>
  </si>
  <si>
    <t>1202004722</t>
  </si>
  <si>
    <t>26581432</t>
  </si>
  <si>
    <t>СПК "Москва"</t>
  </si>
  <si>
    <t>1202000566</t>
  </si>
  <si>
    <t>13-12-1993 00:00:00</t>
  </si>
  <si>
    <t>26654224</t>
  </si>
  <si>
    <t>СХПК - СХА (колхоз) "Первое мая"</t>
  </si>
  <si>
    <t>1209000580</t>
  </si>
  <si>
    <t>30959518</t>
  </si>
  <si>
    <t>ФКУ "ИК-4 УФСИН по Республике Марий Эл"</t>
  </si>
  <si>
    <t>1207005342</t>
  </si>
  <si>
    <t>25-12-2002 00:00:00</t>
  </si>
  <si>
    <t>26358437</t>
  </si>
  <si>
    <t>Филиал ООО "Газпром трансгаз Нижний Новгород" - Моркинское ЛПУМГ</t>
  </si>
  <si>
    <t>120802001</t>
  </si>
  <si>
    <t>15-12-1999 00:00:00</t>
  </si>
  <si>
    <t>26434999</t>
  </si>
  <si>
    <t>ООО "ИнвестКомунСтрой"</t>
  </si>
  <si>
    <t>1213005245</t>
  </si>
  <si>
    <t>26796779</t>
  </si>
  <si>
    <t>ООО "Суслонгерское водо-канализационное хозяйство"</t>
  </si>
  <si>
    <t>1203008504</t>
  </si>
  <si>
    <t>30-11-2010 00:00:00</t>
  </si>
  <si>
    <t>26766592</t>
  </si>
  <si>
    <t>ООО "Управляющая организация"</t>
  </si>
  <si>
    <t>1217004725</t>
  </si>
  <si>
    <t>28978616</t>
  </si>
  <si>
    <t>ИП Алтыбаева С.А.</t>
  </si>
  <si>
    <t>772640599742</t>
  </si>
  <si>
    <t>28435773</t>
  </si>
  <si>
    <t>ИП Краснов В.А.</t>
  </si>
  <si>
    <t>120301782491</t>
  </si>
  <si>
    <t>28436509</t>
  </si>
  <si>
    <t>ИП Попов А.Н.</t>
  </si>
  <si>
    <t>121502603112</t>
  </si>
  <si>
    <t>16-10-2000 00:00:00</t>
  </si>
  <si>
    <t>27573959</t>
  </si>
  <si>
    <t>ОАО "Комбинат благоустройства"</t>
  </si>
  <si>
    <t>1216020403</t>
  </si>
  <si>
    <t>26540490</t>
  </si>
  <si>
    <t>ООО "Благоустройство"</t>
  </si>
  <si>
    <t>1207010977</t>
  </si>
  <si>
    <t>28-10-2008 00:00:00</t>
  </si>
  <si>
    <t>30350805</t>
  </si>
  <si>
    <t>ООО "Куженерводоканал"</t>
  </si>
  <si>
    <t>1205004720</t>
  </si>
  <si>
    <t>31667349</t>
  </si>
  <si>
    <t>ООО "Мусоросортировочный комплекс-Йошкар-Ола"</t>
  </si>
  <si>
    <t>1200005720</t>
  </si>
  <si>
    <t>12-05-2022 00:00:00</t>
  </si>
  <si>
    <t>26435009</t>
  </si>
  <si>
    <t>ООО "СоветскКоммунКомплект"</t>
  </si>
  <si>
    <t>1213005238</t>
  </si>
  <si>
    <t>31699959</t>
  </si>
  <si>
    <t>ООО "Чистый город"</t>
  </si>
  <si>
    <t>1207008914</t>
  </si>
  <si>
    <t>31223016</t>
  </si>
  <si>
    <t>1217006948</t>
  </si>
  <si>
    <t>31667353</t>
  </si>
  <si>
    <t>ООО"Мусоросортировочный комплекс-Сернур"</t>
  </si>
  <si>
    <t>1200002208</t>
  </si>
  <si>
    <t>27-08-2021 00:00:00</t>
  </si>
  <si>
    <t>NSRF</t>
  </si>
  <si>
    <t>MR_NAME</t>
  </si>
  <si>
    <t>OKTMO_MR_NAME</t>
  </si>
  <si>
    <t>MO_NAME</t>
  </si>
  <si>
    <t>OKTMO_NAME</t>
  </si>
  <si>
    <t>TYPE</t>
  </si>
  <si>
    <t>MR_ID</t>
  </si>
  <si>
    <t>Волжский муниципальный район</t>
  </si>
  <si>
    <t>88604000</t>
  </si>
  <si>
    <t>Большепаратское сельское поселение</t>
  </si>
  <si>
    <t>88604405</t>
  </si>
  <si>
    <t>сельское поселение</t>
  </si>
  <si>
    <t>муниципальный район</t>
  </si>
  <si>
    <t>Карамасское сельское поселение</t>
  </si>
  <si>
    <t>88604418</t>
  </si>
  <si>
    <t>Обшиярское сельское поселение</t>
  </si>
  <si>
    <t>88604424</t>
  </si>
  <si>
    <t>Петъяльское сельское поселение</t>
  </si>
  <si>
    <t>88604435</t>
  </si>
  <si>
    <t>Помарское</t>
  </si>
  <si>
    <t>88604442</t>
  </si>
  <si>
    <t>Сотнурское сельское поселение</t>
  </si>
  <si>
    <t>88604447</t>
  </si>
  <si>
    <t>Эмековское</t>
  </si>
  <si>
    <t>88604469</t>
  </si>
  <si>
    <t>пгт. Приволжский</t>
  </si>
  <si>
    <t>88604159</t>
  </si>
  <si>
    <t>городское поселение, в состав которого входит поселок</t>
  </si>
  <si>
    <t>Горномарийский муниципальный район</t>
  </si>
  <si>
    <t>88608000</t>
  </si>
  <si>
    <t>Виловатовское сельское поселение</t>
  </si>
  <si>
    <t>88608420</t>
  </si>
  <si>
    <t>Еласовское сельское поселение</t>
  </si>
  <si>
    <t>88608425</t>
  </si>
  <si>
    <t>Емешевское сельское поселение</t>
  </si>
  <si>
    <t>88608430</t>
  </si>
  <si>
    <t>Красноволжское сельское поселение</t>
  </si>
  <si>
    <t>88608440</t>
  </si>
  <si>
    <t>Кузнецовское сельское поселение</t>
  </si>
  <si>
    <t>88608445</t>
  </si>
  <si>
    <t>Микряковское сельское поселение</t>
  </si>
  <si>
    <t>88608450</t>
  </si>
  <si>
    <t>Озеркинское сельское поселение</t>
  </si>
  <si>
    <t>88608435</t>
  </si>
  <si>
    <t>Пайгусовское сельское поселение</t>
  </si>
  <si>
    <t>88608455</t>
  </si>
  <si>
    <t>Троицко-Посадское</t>
  </si>
  <si>
    <t>88608465</t>
  </si>
  <si>
    <t>Усолинское сельское поселение</t>
  </si>
  <si>
    <t>88608470</t>
  </si>
  <si>
    <t>Звениговский муниципальный район</t>
  </si>
  <si>
    <t>88612000</t>
  </si>
  <si>
    <t>Исменецкое сельское поселение</t>
  </si>
  <si>
    <t>88612405</t>
  </si>
  <si>
    <t>Кокшайское сельское поселение</t>
  </si>
  <si>
    <t>88612450</t>
  </si>
  <si>
    <t>Кокшамарское сельское поселение</t>
  </si>
  <si>
    <t>88612420</t>
  </si>
  <si>
    <t>Красноярское сельское поселение</t>
  </si>
  <si>
    <t>88612425</t>
  </si>
  <si>
    <t>Кужмарское сельское поселение</t>
  </si>
  <si>
    <t>88612430</t>
  </si>
  <si>
    <t>Черноозерское</t>
  </si>
  <si>
    <t>88612440</t>
  </si>
  <si>
    <t>Шелангерское сельское поселение</t>
  </si>
  <si>
    <t>88612445</t>
  </si>
  <si>
    <t>г. Звенигово</t>
  </si>
  <si>
    <t>88612101</t>
  </si>
  <si>
    <t>городское поселение, в состав которого входит город</t>
  </si>
  <si>
    <t>пгт. Красногорский</t>
  </si>
  <si>
    <t>88612162</t>
  </si>
  <si>
    <t>пгт. Суслонгер</t>
  </si>
  <si>
    <t>88612184</t>
  </si>
  <si>
    <t>Килемарский муниципальный район</t>
  </si>
  <si>
    <t>88616000</t>
  </si>
  <si>
    <t>Ардинское</t>
  </si>
  <si>
    <t>88616403</t>
  </si>
  <si>
    <t>Визимьярское сельское поселение</t>
  </si>
  <si>
    <t>88616415</t>
  </si>
  <si>
    <t>Красномостовское</t>
  </si>
  <si>
    <t>88616435</t>
  </si>
  <si>
    <t>Кумьинское</t>
  </si>
  <si>
    <t>88616444</t>
  </si>
  <si>
    <t>Юксарское</t>
  </si>
  <si>
    <t>88616490</t>
  </si>
  <si>
    <t>пгт. Килемары</t>
  </si>
  <si>
    <t>88616151</t>
  </si>
  <si>
    <t>Куженерский муниципальный район</t>
  </si>
  <si>
    <t>88620000</t>
  </si>
  <si>
    <t>Иштымбальское</t>
  </si>
  <si>
    <t>88620420</t>
  </si>
  <si>
    <t>Русско-Шойское сельское поселение</t>
  </si>
  <si>
    <t>88620450</t>
  </si>
  <si>
    <t>Салтакъяльское</t>
  </si>
  <si>
    <t>88620460</t>
  </si>
  <si>
    <t>Токтайбелякское</t>
  </si>
  <si>
    <t>88620470</t>
  </si>
  <si>
    <t>Тумьюмучашское</t>
  </si>
  <si>
    <t>88620480</t>
  </si>
  <si>
    <t>Шорсолинское</t>
  </si>
  <si>
    <t>88620485</t>
  </si>
  <si>
    <t>Шудумарское</t>
  </si>
  <si>
    <t>88620440</t>
  </si>
  <si>
    <t>Юледурское сельское поселение</t>
  </si>
  <si>
    <t>88620490</t>
  </si>
  <si>
    <t>пгт. Куженер</t>
  </si>
  <si>
    <t>88620151</t>
  </si>
  <si>
    <t>Мари-Турекский муниципальный район</t>
  </si>
  <si>
    <t>88624000</t>
  </si>
  <si>
    <t>Карлыганское</t>
  </si>
  <si>
    <t>88624405</t>
  </si>
  <si>
    <t>Косолаповское сельское поселение</t>
  </si>
  <si>
    <t>88624410</t>
  </si>
  <si>
    <t>Мари-Биляморское</t>
  </si>
  <si>
    <t>88624420</t>
  </si>
  <si>
    <t>Марийское</t>
  </si>
  <si>
    <t>88624422</t>
  </si>
  <si>
    <t>Хлебниковское сельское поселение</t>
  </si>
  <si>
    <t>88624445</t>
  </si>
  <si>
    <t>пгт. Мари-Турек</t>
  </si>
  <si>
    <t>88624151</t>
  </si>
  <si>
    <t>Медведевский муниципальный район</t>
  </si>
  <si>
    <t>88628000</t>
  </si>
  <si>
    <t>Азановское</t>
  </si>
  <si>
    <t>88628405</t>
  </si>
  <si>
    <t>Азяковское</t>
  </si>
  <si>
    <t>88628407</t>
  </si>
  <si>
    <t>Ежовское</t>
  </si>
  <si>
    <t>88628410</t>
  </si>
  <si>
    <t>Знаменское</t>
  </si>
  <si>
    <t>88628412</t>
  </si>
  <si>
    <t>88628418</t>
  </si>
  <si>
    <t>60</t>
  </si>
  <si>
    <t>Кундышское сельское поселение</t>
  </si>
  <si>
    <t>88628419</t>
  </si>
  <si>
    <t>61</t>
  </si>
  <si>
    <t>Куярское сельское поселение</t>
  </si>
  <si>
    <t>88628417</t>
  </si>
  <si>
    <t>62</t>
  </si>
  <si>
    <t>Люльпанское</t>
  </si>
  <si>
    <t>88628420</t>
  </si>
  <si>
    <t>63</t>
  </si>
  <si>
    <t>64</t>
  </si>
  <si>
    <t>Нурминское</t>
  </si>
  <si>
    <t>88628430</t>
  </si>
  <si>
    <t>65</t>
  </si>
  <si>
    <t>Пекшиксолинское</t>
  </si>
  <si>
    <t>88628425</t>
  </si>
  <si>
    <t>Русско-Кукморское</t>
  </si>
  <si>
    <t>88628440</t>
  </si>
  <si>
    <t>67</t>
  </si>
  <si>
    <t>Руэмское сельское поселение</t>
  </si>
  <si>
    <t>88628442</t>
  </si>
  <si>
    <t>Сенькинское сельское поселение</t>
  </si>
  <si>
    <t>88628448</t>
  </si>
  <si>
    <t>69</t>
  </si>
  <si>
    <t>Сидоровское сельское поселение</t>
  </si>
  <si>
    <t>88628450</t>
  </si>
  <si>
    <t>70</t>
  </si>
  <si>
    <t>Шойбулакское сельское поселение</t>
  </si>
  <si>
    <t>88628470</t>
  </si>
  <si>
    <t>71</t>
  </si>
  <si>
    <t>Юбилейное</t>
  </si>
  <si>
    <t>88628480</t>
  </si>
  <si>
    <t>72</t>
  </si>
  <si>
    <t>пгт. Краснооктябрьский</t>
  </si>
  <si>
    <t>88628160</t>
  </si>
  <si>
    <t>73</t>
  </si>
  <si>
    <t>пгт. Медведево</t>
  </si>
  <si>
    <t>88628151</t>
  </si>
  <si>
    <t>74</t>
  </si>
  <si>
    <t>Моркинский муниципальный район</t>
  </si>
  <si>
    <t>88632000</t>
  </si>
  <si>
    <t>Зеленогорское</t>
  </si>
  <si>
    <t>88632415</t>
  </si>
  <si>
    <t>75</t>
  </si>
  <si>
    <t>Коркатовское</t>
  </si>
  <si>
    <t>88632425</t>
  </si>
  <si>
    <t>76</t>
  </si>
  <si>
    <t>Красностекловарское</t>
  </si>
  <si>
    <t>88632426</t>
  </si>
  <si>
    <t>77</t>
  </si>
  <si>
    <t>78</t>
  </si>
  <si>
    <t>Октябрьское сельское поселение</t>
  </si>
  <si>
    <t>88632445</t>
  </si>
  <si>
    <t>79</t>
  </si>
  <si>
    <t>Себеусадское</t>
  </si>
  <si>
    <t>88632455</t>
  </si>
  <si>
    <t>80</t>
  </si>
  <si>
    <t>Семисолинское сельское поселение</t>
  </si>
  <si>
    <t>88632460</t>
  </si>
  <si>
    <t>81</t>
  </si>
  <si>
    <t>Шалинское</t>
  </si>
  <si>
    <t>88632470</t>
  </si>
  <si>
    <t>82</t>
  </si>
  <si>
    <t>Шиньшинское</t>
  </si>
  <si>
    <t>88632475</t>
  </si>
  <si>
    <t>83</t>
  </si>
  <si>
    <t>Шоруньжинское сельское поселение</t>
  </si>
  <si>
    <t>88632480</t>
  </si>
  <si>
    <t>84</t>
  </si>
  <si>
    <t>пгт. Морки</t>
  </si>
  <si>
    <t>88632151</t>
  </si>
  <si>
    <t>85</t>
  </si>
  <si>
    <t>Новоторъяльский муниципальный район</t>
  </si>
  <si>
    <t>88636000</t>
  </si>
  <si>
    <t>Масканурское</t>
  </si>
  <si>
    <t>88636420</t>
  </si>
  <si>
    <t>86</t>
  </si>
  <si>
    <t>87</t>
  </si>
  <si>
    <t>Пектубаевское</t>
  </si>
  <si>
    <t>88636435</t>
  </si>
  <si>
    <t>88</t>
  </si>
  <si>
    <t>Староторъяльское</t>
  </si>
  <si>
    <t>88636440</t>
  </si>
  <si>
    <t>89</t>
  </si>
  <si>
    <t>Чуксолинское сельское поселение</t>
  </si>
  <si>
    <t>88636450</t>
  </si>
  <si>
    <t>90</t>
  </si>
  <si>
    <t>пгт. Новый Торъял</t>
  </si>
  <si>
    <t>88636151</t>
  </si>
  <si>
    <t>91</t>
  </si>
  <si>
    <t>Оршанский муниципальный район</t>
  </si>
  <si>
    <t>88640000</t>
  </si>
  <si>
    <t>Великопольское</t>
  </si>
  <si>
    <t>88640405</t>
  </si>
  <si>
    <t>92</t>
  </si>
  <si>
    <t>Марковское</t>
  </si>
  <si>
    <t>88640420</t>
  </si>
  <si>
    <t>93</t>
  </si>
  <si>
    <t>94</t>
  </si>
  <si>
    <t>Шулкинское</t>
  </si>
  <si>
    <t>88640450</t>
  </si>
  <si>
    <t>95</t>
  </si>
  <si>
    <t>пгт. Оршанка</t>
  </si>
  <si>
    <t>88640151</t>
  </si>
  <si>
    <t>96</t>
  </si>
  <si>
    <t>Параньгинский муниципальный район</t>
  </si>
  <si>
    <t>88644000</t>
  </si>
  <si>
    <t>Алашайское</t>
  </si>
  <si>
    <t>88644411</t>
  </si>
  <si>
    <t>97</t>
  </si>
  <si>
    <t>Елеевское</t>
  </si>
  <si>
    <t>88644422</t>
  </si>
  <si>
    <t>98</t>
  </si>
  <si>
    <t>Илетское</t>
  </si>
  <si>
    <t>88644433</t>
  </si>
  <si>
    <t>99</t>
  </si>
  <si>
    <t>Ильпанурское</t>
  </si>
  <si>
    <t>88644444</t>
  </si>
  <si>
    <t>100</t>
  </si>
  <si>
    <t>Куракинское</t>
  </si>
  <si>
    <t>88644455</t>
  </si>
  <si>
    <t>101</t>
  </si>
  <si>
    <t>102</t>
  </si>
  <si>
    <t>Портянурское</t>
  </si>
  <si>
    <t>88644477</t>
  </si>
  <si>
    <t>103</t>
  </si>
  <si>
    <t>Русско-Ляжмаринское</t>
  </si>
  <si>
    <t>88644480</t>
  </si>
  <si>
    <t>104</t>
  </si>
  <si>
    <t>Усолинское</t>
  </si>
  <si>
    <t>88644488</t>
  </si>
  <si>
    <t>105</t>
  </si>
  <si>
    <t>пгт. Параньга</t>
  </si>
  <si>
    <t>88644151</t>
  </si>
  <si>
    <t>106</t>
  </si>
  <si>
    <t>Сернурский муниципальный район</t>
  </si>
  <si>
    <t>88648000</t>
  </si>
  <si>
    <t>Верхнекугенерское</t>
  </si>
  <si>
    <t>88648455</t>
  </si>
  <si>
    <t>107</t>
  </si>
  <si>
    <t>Дубниковское</t>
  </si>
  <si>
    <t>88648415</t>
  </si>
  <si>
    <t>108</t>
  </si>
  <si>
    <t>Зашижемское</t>
  </si>
  <si>
    <t>88648420</t>
  </si>
  <si>
    <t>109</t>
  </si>
  <si>
    <t>Казанское сельское поселение</t>
  </si>
  <si>
    <t>88648425</t>
  </si>
  <si>
    <t>110</t>
  </si>
  <si>
    <t>Кукнурское сельское поселение</t>
  </si>
  <si>
    <t>88648435</t>
  </si>
  <si>
    <t>111</t>
  </si>
  <si>
    <t>Марисолинское</t>
  </si>
  <si>
    <t>88648445</t>
  </si>
  <si>
    <t>112</t>
  </si>
  <si>
    <t>Сердежское сельское поселение</t>
  </si>
  <si>
    <t>88648468</t>
  </si>
  <si>
    <t>113</t>
  </si>
  <si>
    <t>114</t>
  </si>
  <si>
    <t>Чендемеровское</t>
  </si>
  <si>
    <t>88648475</t>
  </si>
  <si>
    <t>115</t>
  </si>
  <si>
    <t>пгт. Сернур</t>
  </si>
  <si>
    <t>88648151</t>
  </si>
  <si>
    <t>116</t>
  </si>
  <si>
    <t>Советский муниципальный район</t>
  </si>
  <si>
    <t>88652000</t>
  </si>
  <si>
    <t>Алексеевское</t>
  </si>
  <si>
    <t>88652410</t>
  </si>
  <si>
    <t>117</t>
  </si>
  <si>
    <t>Верх-Ушнурское</t>
  </si>
  <si>
    <t>88652420</t>
  </si>
  <si>
    <t>118</t>
  </si>
  <si>
    <t>Вятское</t>
  </si>
  <si>
    <t>88652430</t>
  </si>
  <si>
    <t>119</t>
  </si>
  <si>
    <t>Кужмаринское</t>
  </si>
  <si>
    <t>88652447</t>
  </si>
  <si>
    <t>120</t>
  </si>
  <si>
    <t>Михайловское сельское поселение</t>
  </si>
  <si>
    <t>88652470</t>
  </si>
  <si>
    <t>121</t>
  </si>
  <si>
    <t>Ронгинское сельское поселение</t>
  </si>
  <si>
    <t>88652490</t>
  </si>
  <si>
    <t>122</t>
  </si>
  <si>
    <t>123</t>
  </si>
  <si>
    <t>Солнечное сельское поселение</t>
  </si>
  <si>
    <t>88652492</t>
  </si>
  <si>
    <t>124</t>
  </si>
  <si>
    <t>пгт. Советский</t>
  </si>
  <si>
    <t>88652151</t>
  </si>
  <si>
    <t>125</t>
  </si>
  <si>
    <t>Юринский муниципальный район</t>
  </si>
  <si>
    <t>88656000</t>
  </si>
  <si>
    <t>Быковское</t>
  </si>
  <si>
    <t>88656474</t>
  </si>
  <si>
    <t>126</t>
  </si>
  <si>
    <t>Васильевское</t>
  </si>
  <si>
    <t>88656411</t>
  </si>
  <si>
    <t>127</t>
  </si>
  <si>
    <t>Козиковское</t>
  </si>
  <si>
    <t>88656422</t>
  </si>
  <si>
    <t>128</t>
  </si>
  <si>
    <t>Марьинское</t>
  </si>
  <si>
    <t>88656466</t>
  </si>
  <si>
    <t>129</t>
  </si>
  <si>
    <t>130</t>
  </si>
  <si>
    <t>Юркинское</t>
  </si>
  <si>
    <t>88656477</t>
  </si>
  <si>
    <t>131</t>
  </si>
  <si>
    <t>пгт. Юрино</t>
  </si>
  <si>
    <t>88656151</t>
  </si>
  <si>
    <t>132</t>
  </si>
  <si>
    <t>г. Волжск</t>
  </si>
  <si>
    <t>88705000</t>
  </si>
  <si>
    <t>городской округ</t>
  </si>
  <si>
    <t>133</t>
  </si>
  <si>
    <t>г. Козьмодемьянск</t>
  </si>
  <si>
    <t>88715000</t>
  </si>
  <si>
    <t>135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</si>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</sst>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46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15"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15"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49" fontId="22" fillId="40" borderId="12" xfId="0" applyFont="1" applyFill="1" applyBorder="1" applyNumberFormat="1">
      <alignment horizontal="left" vertical="center" wrapText="1" indent="1"/>
      <protection locked="0"/>
    </xf>
    <xf numFmtId="4" fontId="22" fillId="35" borderId="12" xfId="0" applyFont="1" applyFill="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6" borderId="17" xfId="0" applyFont="1" applyFill="1" applyBorder="1" applyNumberFormat="1">
      <alignment horizontal="left" vertical="center" wrapText="1" indent="6"/>
      <protection locked="0"/>
    </xf>
    <xf numFmtId="0" fontId="22" fillId="0" borderId="12" xfId="0" applyFont="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0" fontId="36" fillId="0" borderId="0" xfId="0" applyFont="1" applyNumberFormat="1">
      <alignment horizontal="center" vertical="center" wrapText="1"/>
    </xf>
    <xf numFmtId="49" fontId="22" fillId="40" borderId="12" xfId="0" applyFont="1" applyFill="1" applyBorder="1" applyNumberFormat="1">
      <alignment horizontal="left" vertical="center" wrapText="1" indent="1"/>
    </xf>
    <xf numFmtId="0" fontId="22" fillId="0" borderId="37" xfId="0" applyFont="1" applyBorder="1" applyNumberFormat="1">
      <alignment horizontal="center" vertical="center" wrapText="1"/>
    </xf>
    <xf numFmtId="4" fontId="22" fillId="35" borderId="12" xfId="0" applyFont="1" applyFill="1" applyBorder="1" applyNumberFormat="1">
      <alignment horizontal="center" vertical="center" wrapText="1"/>
    </xf>
    <xf numFmtId="49" fontId="22" fillId="40" borderId="20" xfId="0" applyFont="1" applyFill="1" applyBorder="1" applyNumberFormat="1">
      <alignment horizontal="center" vertical="center" wrapText="1"/>
    </xf>
    <xf numFmtId="0" fontId="22" fillId="0" borderId="12" xfId="0" applyFont="1" applyBorder="1" applyNumberFormat="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pplyNumberFormat="1">
      <alignment horizontal="lef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0" fontId="22" fillId="35" borderId="36" xfId="0" applyFont="1" applyFill="1" applyBorder="1" applyNumberFormat="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pplyNumberFormat="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0" fontId="45" fillId="0" borderId="36" xfId="0" applyFont="1" applyBorder="1" applyNumberFormat="1">
      <alignment horizontal="left" vertical="top"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515" fontId="0" fillId="39" borderId="13"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15"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49" fontId="22" fillId="40" borderId="12" xfId="0" applyFont="1" applyFill="1" applyBorder="1" applyNumberFormat="1">
      <alignment horizontal="left" vertical="center" wrapText="1" indent="1"/>
      <protection locked="0"/>
    </xf>
    <xf numFmtId="4" fontId="22" fillId="35" borderId="12" xfId="0" applyFont="1" applyFill="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6" borderId="17" xfId="0" applyFont="1" applyFill="1" applyBorder="1" applyNumberFormat="1">
      <alignment horizontal="left" vertical="center" wrapText="1" indent="6"/>
      <protection locked="0"/>
    </xf>
    <xf numFmtId="0" fontId="22" fillId="0" borderId="12" xfId="0" applyFont="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0" fontId="36" fillId="0" borderId="0" xfId="0" applyFont="1" applyNumberFormat="1">
      <alignment horizontal="center" vertical="center" wrapText="1"/>
    </xf>
    <xf numFmtId="49" fontId="22" fillId="40" borderId="12" xfId="0" applyFont="1" applyFill="1" applyBorder="1" applyNumberFormat="1">
      <alignment horizontal="left" vertical="center" wrapText="1" indent="1"/>
    </xf>
    <xf numFmtId="0" fontId="22" fillId="0" borderId="37" xfId="0" applyFont="1" applyBorder="1" applyNumberFormat="1">
      <alignment horizontal="center" vertical="center" wrapText="1"/>
    </xf>
    <xf numFmtId="4" fontId="22" fillId="35" borderId="12" xfId="0" applyFont="1" applyFill="1" applyBorder="1" applyNumberFormat="1">
      <alignment horizontal="center" vertical="center" wrapText="1"/>
    </xf>
    <xf numFmtId="49" fontId="22" fillId="40" borderId="20" xfId="0" applyFont="1" applyFill="1" applyBorder="1" applyNumberFormat="1">
      <alignment horizontal="center" vertical="center" wrapText="1"/>
    </xf>
    <xf numFmtId="0" fontId="22" fillId="0" borderId="12" xfId="0" applyFont="1" applyBorder="1" applyNumberFormat="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pplyNumberFormat="1">
      <alignment horizontal="lef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0" fontId="22" fillId="35" borderId="36" xfId="0" applyFont="1" applyFill="1" applyBorder="1" applyNumberFormat="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pplyNumberFormat="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0" fontId="45" fillId="0" borderId="36" xfId="0" applyFont="1" applyBorder="1" applyNumberFormat="1">
      <alignment horizontal="left" vertical="top"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3" fontId="22" fillId="37" borderId="13" xfId="0" applyFont="1" applyFill="1" applyBorder="1" applyNumberFormat="1">
      <alignment horizontal="righ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515" fontId="0" fillId="39" borderId="13"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ca55366-91a8-499f-a84f-ddbf44f2d2a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98473" TargetMode="External"/><Relationship Id="rId3" Type="http://schemas.openxmlformats.org/officeDocument/2006/relationships/hyperlink" Target="https://zakupki.gov.ru/epz/orderclause/card/documents.html?orderClauseInfoId=898473" TargetMode="External"/><Relationship Id="rId4" Type="http://schemas.openxmlformats.org/officeDocument/2006/relationships/hyperlink" Target="https://zakupki.gov.ru/epz/orderplan/purchase-plan/card/common-info.html?id=940178&amp;infoId=8113275" TargetMode="External"/><Relationship Id="rId5" Type="http://schemas.openxmlformats.org/officeDocument/2006/relationships/hyperlink" Target="https://zakupki.gov.ru/epz/contractfz223/search/results.html?searchString=1215020390&amp;morphology=on&amp;search-filter=%D0%94%D0%B0%D1%82%D0%B5+%D1%80%D0%B0%D0%B7%D0%BC%D0%B5%D1%89%D0%B5%D0%BD%D0%B8%D1%8F&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C055F-A452-8803-95B4-1262B766B2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545" width="5.421875" customWidth="1"/>
    <col min="2" max="2" style="9545" width="9.140625" customWidth="1"/>
    <col min="3" max="3" style="9545" width="16.421875" customWidth="1"/>
    <col min="4" max="25" style="9545" width="6.28125" customWidth="1"/>
    <col min="26" max="28" style="9545"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5CD73-593C-0C4E-6F89-762225D96AF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9553" width="9.140625" hidden="1" customWidth="1"/>
    <col min="2" max="3" style="9589" width="9.140625" hidden="1" customWidth="1"/>
    <col min="4" max="4" style="9755" width="3.00390625" customWidth="1"/>
    <col min="5" max="5" style="9589" width="6.00390625" customWidth="1"/>
    <col min="6" max="6" style="9589" width="1.7109375" hidden="1" customWidth="1"/>
    <col min="7" max="8" style="9589" width="30.00390625" customWidth="1"/>
    <col min="9" max="9" style="9589" width="8.00390625" customWidth="1"/>
    <col min="10" max="10" style="9589" width="12.140625" customWidth="1"/>
    <col min="11" max="11" style="9589" width="46.00390625" customWidth="1"/>
    <col min="12" max="12" style="9589" width="100.00390625" customWidth="1"/>
    <col min="13" max="13" style="9682" width="7.00390625" customWidth="1"/>
    <col min="14" max="22" style="9589" width="10.00390625" customWidth="1"/>
    <col min="23" max="23" style="9589" width="10.57421875" hidden="1"/>
  </cols>
  <sheetData>
    <row s="9667" customFormat="1" customHeight="1" ht="5.25" hidden="1">
      <c r="C1" s="681"/>
      <c r="D1" s="664"/>
      <c r="F1" s="681"/>
      <c r="G1" s="659" t="s">
        <v>82</v>
      </c>
      <c r="H1" s="659" t="s">
        <v>83</v>
      </c>
      <c r="I1" s="659" t="s">
        <v>84</v>
      </c>
      <c r="P1" s="659" t="s">
        <v>82</v>
      </c>
      <c r="Q1" s="659" t="s">
        <v>83</v>
      </c>
      <c r="R1" s="659" t="s">
        <v>84</v>
      </c>
      <c r="W1" s="659" t="s">
        <v>14</v>
      </c>
    </row>
    <row s="9667" customFormat="1" customHeight="1" ht="5.25" hidden="1">
      <c r="C2" s="681"/>
      <c r="D2" s="664"/>
      <c r="F2" s="681"/>
      <c r="W2" s="659">
        <v>0</v>
      </c>
    </row>
    <row s="9564" customFormat="1" customHeight="1" ht="5.25">
      <c r="A3" s="649"/>
      <c r="D3" s="656"/>
      <c r="E3" s="651"/>
      <c r="F3" s="651"/>
      <c r="G3" s="651"/>
      <c r="H3" s="651"/>
      <c r="I3" s="652"/>
      <c r="J3" s="653"/>
      <c r="K3" s="653"/>
      <c r="L3" s="653"/>
      <c r="W3" s="650">
        <v>5</v>
      </c>
    </row>
    <row customHeight="1" ht="23.25">
      <c r="D4" s="620"/>
      <c r="E4" s="2408" t="s">
        <v>391</v>
      </c>
      <c r="F4" s="2408"/>
      <c r="G4" s="2409"/>
      <c r="H4" s="2409"/>
      <c r="I4" s="2410"/>
      <c r="J4" s="661"/>
      <c r="K4" s="623"/>
      <c r="L4" s="623"/>
      <c r="W4" s="617">
        <v>22</v>
      </c>
    </row>
    <row s="9589" customFormat="1" customHeight="1" ht="18">
      <c r="A5" s="929"/>
      <c r="D5" s="992"/>
      <c r="E5" s="2384" t="str">
        <f>IF(org=0,"Не определено",org)</f>
        <v>МУП "Водоканал"</v>
      </c>
      <c r="F5" s="2384"/>
      <c r="G5" s="2385"/>
      <c r="H5" s="2385"/>
      <c r="I5" s="2386"/>
      <c r="J5" s="661"/>
      <c r="K5" s="623"/>
      <c r="L5" s="623"/>
      <c r="M5" s="677"/>
      <c r="W5" s="928">
        <v>17</v>
      </c>
    </row>
    <row s="9564" customFormat="1" customHeight="1" ht="11.549999999999999">
      <c r="A6" s="649"/>
      <c r="D6" s="656"/>
      <c r="E6" s="651"/>
      <c r="F6" s="651"/>
      <c r="G6" s="654"/>
      <c r="H6" s="654"/>
      <c r="I6" s="655"/>
      <c r="J6" s="655"/>
      <c r="K6" s="922"/>
      <c r="L6" s="655"/>
      <c r="W6" s="650">
        <v>11</v>
      </c>
    </row>
    <row customHeight="1" ht="14.699999999999998">
      <c r="D7" s="620"/>
      <c r="E7" s="2378" t="s">
        <v>303</v>
      </c>
      <c r="F7" s="2378"/>
      <c r="G7" s="2379"/>
      <c r="H7" s="2379"/>
      <c r="I7" s="2379"/>
      <c r="J7" s="2379"/>
      <c r="K7" s="2379"/>
      <c r="L7" s="2393" t="s">
        <v>304</v>
      </c>
      <c r="W7" s="617">
        <v>14</v>
      </c>
    </row>
    <row customHeight="1" ht="48.29999999999999">
      <c r="D8" s="620"/>
      <c r="E8" s="643" t="s">
        <v>87</v>
      </c>
      <c r="F8" s="993"/>
      <c r="G8" s="635" t="s">
        <v>85</v>
      </c>
      <c r="H8" s="635" t="s">
        <v>86</v>
      </c>
      <c r="I8" s="584" t="s">
        <v>84</v>
      </c>
      <c r="J8" s="584" t="s">
        <v>392</v>
      </c>
      <c r="K8" s="584" t="s">
        <v>393</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394</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9564" customFormat="1" customHeight="1" ht="15">
      <c r="A12" s="2269"/>
      <c r="B12" s="674"/>
      <c r="C12" s="674"/>
      <c r="D12" s="1036"/>
      <c r="E12" s="993">
        <v>1</v>
      </c>
      <c r="F12" s="1034">
        <v>23</v>
      </c>
      <c r="G12" s="1033"/>
      <c r="H12" s="963"/>
      <c r="I12" s="961"/>
      <c r="J12" s="690" t="s">
        <v>65</v>
      </c>
      <c r="K12" s="1334" t="s">
        <v>28</v>
      </c>
      <c r="L12" s="2411"/>
      <c r="M12" s="681"/>
      <c r="N12" s="681"/>
      <c r="O12" s="681"/>
      <c r="P12" s="686" t="s">
        <v>395</v>
      </c>
      <c r="Q12" s="686" t="s">
        <v>396</v>
      </c>
      <c r="R12" s="687" t="s">
        <v>397</v>
      </c>
      <c r="S12" s="681" t="s">
        <v>398</v>
      </c>
      <c r="T12" s="681"/>
      <c r="U12" s="681"/>
      <c r="V12" s="681"/>
      <c r="W12" s="650">
        <v>14</v>
      </c>
    </row>
    <row customHeight="1" ht="15.75">
      <c r="A13" s="2269"/>
      <c r="B13" s="675"/>
      <c r="D13" s="676"/>
      <c r="E13" s="575"/>
      <c r="F13" s="699"/>
      <c r="G13" s="586" t="s">
        <v>101</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81</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EF17B-3AD6-642D-448D-A7D391F493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406</v>
      </c>
      <c r="M6" s="707"/>
      <c r="P6" s="2427">
        <v>1</v>
      </c>
      <c r="Q6" s="1475"/>
      <c r="R6" s="526"/>
      <c r="S6" s="1479">
        <f>$I6</f>
      </c>
      <c r="T6" s="455" t="s">
        <v>407</v>
      </c>
      <c r="U6" s="470"/>
      <c r="V6" s="2415"/>
      <c r="W6" s="2416"/>
      <c r="X6" s="2416"/>
      <c r="Y6" s="2416"/>
      <c r="Z6" s="2416"/>
      <c r="AA6" s="2416"/>
      <c r="AB6" s="2416"/>
      <c r="AC6" s="2417"/>
      <c r="AD6" s="2415"/>
      <c r="AE6" s="2416"/>
      <c r="AF6" s="2416"/>
      <c r="AG6" s="2416"/>
      <c r="AH6" s="2416"/>
      <c r="AI6" s="2416"/>
      <c r="AJ6" s="2416"/>
      <c r="AK6" s="2416"/>
      <c r="AL6" s="2417"/>
      <c r="AM6" s="1428" t="s">
        <v>408</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409</v>
      </c>
      <c r="M7" s="707"/>
      <c r="N7" s="1536"/>
      <c r="P7" s="2427"/>
      <c r="Q7" s="2427">
        <v>1</v>
      </c>
      <c r="R7" s="527"/>
      <c r="S7" s="1479">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412</v>
      </c>
      <c r="M8" s="707"/>
      <c r="N8" s="1536"/>
      <c r="O8" s="1536"/>
      <c r="P8" s="2427"/>
      <c r="Q8" s="2427"/>
      <c r="R8" s="527">
        <v>1</v>
      </c>
      <c r="S8" s="1479">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416</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66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65</v>
      </c>
      <c r="AJ17" s="2437"/>
      <c r="AK17" s="2438" t="s">
        <v>65</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14.2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18.7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325">
        <v>14</v>
      </c>
    </row>
    <row customHeight="1" ht="35.699999999999996">
      <c r="Q40" s="546"/>
      <c r="R40" s="546"/>
      <c r="S40" s="2443"/>
      <c r="T40" s="2379"/>
      <c r="U40" s="1201"/>
      <c r="V40" s="2430" t="s">
        <v>434</v>
      </c>
      <c r="W40" s="2780" t="s">
        <v>435</v>
      </c>
      <c r="X40" s="2432" t="s">
        <v>436</v>
      </c>
      <c r="Y40" s="2433"/>
      <c r="Z40" s="2432" t="s">
        <v>437</v>
      </c>
      <c r="AA40" s="2439"/>
      <c r="AB40" s="2433"/>
      <c r="AC40" s="2448"/>
      <c r="AD40" s="2430" t="s">
        <v>434</v>
      </c>
      <c r="AE40" s="2453" t="s">
        <v>435</v>
      </c>
      <c r="AF40" s="2432" t="s">
        <v>436</v>
      </c>
      <c r="AG40" s="2433"/>
      <c r="AH40" s="2432" t="s">
        <v>437</v>
      </c>
      <c r="AI40" s="2439"/>
      <c r="AJ40" s="2433"/>
      <c r="AK40" s="2448"/>
      <c r="AL40" s="2451"/>
      <c r="AM40" s="2297"/>
      <c r="AS40" s="1325">
        <v>34</v>
      </c>
    </row>
    <row customHeight="1" ht="35.699999999999996">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Q41" s="546"/>
      <c r="R41" s="546"/>
      <c r="S41" s="2443"/>
      <c r="T41" s="2379"/>
      <c r="U41" s="472"/>
      <c r="V41" s="2431"/>
      <c r="W41" s="2454"/>
      <c r="X41" s="1392" t="s">
        <v>445</v>
      </c>
      <c r="Y41" s="1392" t="s">
        <v>446</v>
      </c>
      <c r="Z41" s="1391" t="s">
        <v>447</v>
      </c>
      <c r="AA41" s="2440" t="s">
        <v>448</v>
      </c>
      <c r="AB41" s="2441"/>
      <c r="AC41" s="2449"/>
      <c r="AD41" s="2431"/>
      <c r="AE41" s="2454"/>
      <c r="AF41" s="1392" t="s">
        <v>445</v>
      </c>
      <c r="AG41" s="1392" t="s">
        <v>446</v>
      </c>
      <c r="AH41" s="1483" t="s">
        <v>447</v>
      </c>
      <c r="AI41" s="2440" t="s">
        <v>448</v>
      </c>
      <c r="AJ41" s="2441"/>
      <c r="AK41" s="2449"/>
      <c r="AL41" s="2452"/>
      <c r="AM41" s="2297"/>
      <c r="AS41" s="1325">
        <v>34</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155</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155</v>
      </c>
      <c r="B44" s="1533" t="s">
        <v>156</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23</v>
      </c>
    </row>
    <row customHeight="1" ht="24">
      <c r="A45" s="1533" t="s">
        <v>155</v>
      </c>
      <c r="B45" s="1533" t="s">
        <v>156</v>
      </c>
      <c r="C45" s="1533" t="s">
        <v>157</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4">
      <c r="A46" s="1533" t="s">
        <v>155</v>
      </c>
      <c r="B46" s="1533" t="s">
        <v>156</v>
      </c>
      <c r="C46" s="1533" t="s">
        <v>157</v>
      </c>
      <c r="D46" s="1533" t="s">
        <v>158</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23</v>
      </c>
    </row>
    <row customHeight="1" ht="49.5">
      <c r="A47" s="1533" t="s">
        <v>155</v>
      </c>
      <c r="B47" s="1533" t="s">
        <v>156</v>
      </c>
      <c r="C47" s="1533" t="s">
        <v>157</v>
      </c>
      <c r="D47" s="1533" t="s">
        <v>158</v>
      </c>
      <c r="E47" s="2429"/>
      <c r="F47" s="2429"/>
      <c r="G47" s="2429"/>
      <c r="H47" s="2429"/>
      <c r="I47" s="2426" t="str">
        <f>S46&amp;".1"</f>
        <v>....1</v>
      </c>
      <c r="J47" s="1533"/>
      <c r="K47" s="1533"/>
      <c r="L47" s="1534" t="s">
        <v>406</v>
      </c>
      <c r="P47" s="2427">
        <v>1</v>
      </c>
      <c r="Q47" s="1390"/>
      <c r="R47" s="526"/>
      <c r="S47" s="1394" t="str">
        <f>$I47</f>
        <v>....1</v>
      </c>
      <c r="T47" s="455" t="s">
        <v>407</v>
      </c>
      <c r="U47" s="470"/>
      <c r="V47" s="2415"/>
      <c r="W47" s="2416"/>
      <c r="X47" s="2416"/>
      <c r="Y47" s="2416"/>
      <c r="Z47" s="2416"/>
      <c r="AA47" s="2416"/>
      <c r="AB47" s="2416"/>
      <c r="AC47" s="2417"/>
      <c r="AD47" s="2415"/>
      <c r="AE47" s="2416"/>
      <c r="AF47" s="2416"/>
      <c r="AG47" s="2416"/>
      <c r="AH47" s="2416"/>
      <c r="AI47" s="2416"/>
      <c r="AJ47" s="2416"/>
      <c r="AK47" s="2416"/>
      <c r="AL47" s="2417"/>
      <c r="AM47" s="1428" t="s">
        <v>408</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155</v>
      </c>
      <c r="B48" s="1533" t="s">
        <v>156</v>
      </c>
      <c r="C48" s="1533" t="s">
        <v>157</v>
      </c>
      <c r="D48" s="1533" t="s">
        <v>158</v>
      </c>
      <c r="E48" s="2429"/>
      <c r="F48" s="2429"/>
      <c r="G48" s="2429"/>
      <c r="H48" s="2429"/>
      <c r="I48" s="2456"/>
      <c r="J48" s="2426" t="str">
        <f>I47&amp;".1"</f>
        <v>....1.1</v>
      </c>
      <c r="K48" s="1533"/>
      <c r="L48" s="1534" t="s">
        <v>409</v>
      </c>
      <c r="P48" s="2427"/>
      <c r="Q48" s="2427">
        <v>1</v>
      </c>
      <c r="R48" s="527"/>
      <c r="S48" s="1394" t="str">
        <f>$J48</f>
        <v>....1.1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23</v>
      </c>
    </row>
    <row customHeight="1" ht="24">
      <c r="A49" s="1533" t="s">
        <v>155</v>
      </c>
      <c r="B49" s="1533" t="s">
        <v>156</v>
      </c>
      <c r="C49" s="1533" t="s">
        <v>157</v>
      </c>
      <c r="D49" s="1533" t="s">
        <v>158</v>
      </c>
      <c r="E49" s="2429"/>
      <c r="F49" s="2429"/>
      <c r="G49" s="2429"/>
      <c r="H49" s="2429"/>
      <c r="I49" s="2456"/>
      <c r="J49" s="2456"/>
      <c r="K49" s="2426" t="str">
        <f>J48&amp;".1"</f>
        <v>....1.1.1</v>
      </c>
      <c r="L49" s="1534" t="s">
        <v>412</v>
      </c>
      <c r="P49" s="2427"/>
      <c r="Q49" s="2427"/>
      <c r="R49" s="527">
        <v>1</v>
      </c>
      <c r="S49" s="1394"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413</v>
      </c>
      <c r="AN49" s="681">
        <f>STRCHECKDATE(V50:AL50)</f>
      </c>
      <c r="AO49" s="670"/>
      <c r="AP49" s="670" t="str">
        <f>IF(T49="","",T49)</f>
        <v/>
      </c>
      <c r="AQ49" s="670"/>
      <c r="AR49" s="670"/>
      <c r="AS49" s="1325">
        <v>23</v>
      </c>
    </row>
    <row customHeight="1" ht="1.05">
      <c r="A50" s="1533" t="s">
        <v>155</v>
      </c>
      <c r="B50" s="1533" t="s">
        <v>156</v>
      </c>
      <c r="C50" s="1533" t="s">
        <v>157</v>
      </c>
      <c r="D50" s="1533" t="s">
        <v>158</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155</v>
      </c>
      <c r="B51" s="1533" t="s">
        <v>156</v>
      </c>
      <c r="C51" s="1533" t="s">
        <v>157</v>
      </c>
      <c r="D51" s="1533" t="s">
        <v>158</v>
      </c>
      <c r="E51" s="2429"/>
      <c r="F51" s="2429"/>
      <c r="G51" s="2429"/>
      <c r="H51" s="2429"/>
      <c r="I51" s="2456"/>
      <c r="J51" s="2426"/>
      <c r="K51" s="1533"/>
      <c r="L51" s="1534"/>
      <c r="P51" s="2427"/>
      <c r="Q51" s="2427"/>
      <c r="R51" s="526"/>
      <c r="S51" s="1448"/>
      <c r="T51" s="458"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155</v>
      </c>
      <c r="B52" s="1533" t="s">
        <v>156</v>
      </c>
      <c r="C52" s="1533" t="s">
        <v>157</v>
      </c>
      <c r="D52" s="1533" t="s">
        <v>158</v>
      </c>
      <c r="E52" s="2429"/>
      <c r="F52" s="2429"/>
      <c r="G52" s="2429"/>
      <c r="H52" s="2429"/>
      <c r="I52" s="2426"/>
      <c r="J52" s="1533"/>
      <c r="K52" s="1533"/>
      <c r="L52" s="1534"/>
      <c r="P52" s="2427"/>
      <c r="Q52" s="1390"/>
      <c r="R52" s="526"/>
      <c r="S52" s="1448"/>
      <c r="T52" s="457"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155</v>
      </c>
      <c r="B53" s="1533" t="s">
        <v>156</v>
      </c>
      <c r="C53" s="1533" t="s">
        <v>157</v>
      </c>
      <c r="D53" s="1533" t="s">
        <v>158</v>
      </c>
      <c r="E53" s="2429"/>
      <c r="F53" s="2429"/>
      <c r="G53" s="2429"/>
      <c r="H53" s="2428"/>
      <c r="I53" s="1533"/>
      <c r="J53" s="1533"/>
      <c r="K53" s="1533"/>
      <c r="L53" s="1534"/>
      <c r="M53" s="1535"/>
      <c r="N53" s="1535"/>
      <c r="O53" s="707"/>
      <c r="P53" s="530"/>
      <c r="Q53" s="545"/>
      <c r="R53" s="525"/>
      <c r="S53" s="1448"/>
      <c r="T53" s="535" t="s">
        <v>416</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667" customFormat="1" customHeight="1" ht="1.05">
      <c r="A54" s="1513" t="s">
        <v>155</v>
      </c>
      <c r="B54" s="1513" t="s">
        <v>156</v>
      </c>
      <c r="C54" s="1513" t="s">
        <v>157</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667" customFormat="1" customHeight="1" ht="1.05">
      <c r="A55" s="1513" t="s">
        <v>155</v>
      </c>
      <c r="B55" s="1513" t="s">
        <v>156</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667" customFormat="1" customHeight="1" ht="1.05">
      <c r="A56" s="1513" t="s">
        <v>155</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66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2933A-1D08-7311-2C66-79875BB96D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406</v>
      </c>
      <c r="M6" s="707"/>
      <c r="P6" s="2427">
        <v>1</v>
      </c>
      <c r="Q6" s="1501"/>
      <c r="R6" s="526"/>
      <c r="S6" s="1506">
        <f>$I6</f>
      </c>
      <c r="T6" s="455" t="s">
        <v>407</v>
      </c>
      <c r="U6" s="470"/>
      <c r="V6" s="2415"/>
      <c r="W6" s="2416"/>
      <c r="X6" s="2416"/>
      <c r="Y6" s="2416"/>
      <c r="Z6" s="2416"/>
      <c r="AA6" s="2416"/>
      <c r="AB6" s="2416"/>
      <c r="AC6" s="2417"/>
      <c r="AD6" s="2415"/>
      <c r="AE6" s="2416"/>
      <c r="AF6" s="2416"/>
      <c r="AG6" s="2416"/>
      <c r="AH6" s="2416"/>
      <c r="AI6" s="2416"/>
      <c r="AJ6" s="2416"/>
      <c r="AK6" s="2416"/>
      <c r="AL6" s="2417"/>
      <c r="AM6" s="1428" t="s">
        <v>408</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409</v>
      </c>
      <c r="M7" s="707"/>
      <c r="N7" s="1536"/>
      <c r="P7" s="2427"/>
      <c r="Q7" s="2427">
        <v>1</v>
      </c>
      <c r="R7" s="527"/>
      <c r="S7" s="1506">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412</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416</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66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14.2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18.7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325">
        <v>14</v>
      </c>
    </row>
    <row customHeight="1" ht="35.699999999999996">
      <c r="Q40" s="546"/>
      <c r="R40" s="546"/>
      <c r="S40" s="2443"/>
      <c r="T40" s="2379"/>
      <c r="U40" s="1201"/>
      <c r="V40" s="2430" t="s">
        <v>434</v>
      </c>
      <c r="W40" s="2453" t="s">
        <v>435</v>
      </c>
      <c r="X40" s="2432" t="s">
        <v>436</v>
      </c>
      <c r="Y40" s="2433"/>
      <c r="Z40" s="2432" t="s">
        <v>449</v>
      </c>
      <c r="AA40" s="2439"/>
      <c r="AB40" s="2433"/>
      <c r="AC40" s="2448"/>
      <c r="AD40" s="2430" t="s">
        <v>434</v>
      </c>
      <c r="AE40" s="2453" t="s">
        <v>435</v>
      </c>
      <c r="AF40" s="2432" t="s">
        <v>436</v>
      </c>
      <c r="AG40" s="2433"/>
      <c r="AH40" s="2432" t="s">
        <v>437</v>
      </c>
      <c r="AI40" s="2439"/>
      <c r="AJ40" s="2433"/>
      <c r="AK40" s="2448"/>
      <c r="AL40" s="2451"/>
      <c r="AM40" s="2297"/>
      <c r="AS40" s="1325">
        <v>34</v>
      </c>
    </row>
    <row customHeight="1" ht="35.699999999999996">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Q41" s="546"/>
      <c r="R41" s="546"/>
      <c r="S41" s="2443"/>
      <c r="T41" s="2379"/>
      <c r="U41" s="472"/>
      <c r="V41" s="2431"/>
      <c r="W41" s="2454"/>
      <c r="X41" s="1392" t="s">
        <v>445</v>
      </c>
      <c r="Y41" s="1392" t="s">
        <v>446</v>
      </c>
      <c r="Z41" s="1508" t="s">
        <v>447</v>
      </c>
      <c r="AA41" s="2440" t="s">
        <v>448</v>
      </c>
      <c r="AB41" s="2441"/>
      <c r="AC41" s="2449"/>
      <c r="AD41" s="2431"/>
      <c r="AE41" s="2454"/>
      <c r="AF41" s="1392" t="s">
        <v>445</v>
      </c>
      <c r="AG41" s="1392" t="s">
        <v>446</v>
      </c>
      <c r="AH41" s="1508" t="s">
        <v>447</v>
      </c>
      <c r="AI41" s="2440" t="s">
        <v>448</v>
      </c>
      <c r="AJ41" s="2441"/>
      <c r="AK41" s="2449"/>
      <c r="AL41" s="2452"/>
      <c r="AM41" s="2297"/>
      <c r="AS41" s="1325">
        <v>34</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160</v>
      </c>
      <c r="B44" s="1533" t="s">
        <v>161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21</v>
      </c>
    </row>
    <row customHeight="1" ht="24">
      <c r="A45" s="1533" t="s">
        <v>160</v>
      </c>
      <c r="B45" s="1533" t="s">
        <v>161</v>
      </c>
      <c r="C45" s="1533" t="s">
        <v>162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2.049999999999997">
      <c r="A46" s="1533" t="s">
        <v>160</v>
      </c>
      <c r="B46" s="1533" t="s">
        <v>161</v>
      </c>
      <c r="C46" s="1533" t="s">
        <v>162</v>
      </c>
      <c r="D46" s="1533" t="s">
        <v>163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21</v>
      </c>
    </row>
    <row customHeight="1" ht="49.5">
      <c r="A47" s="1533" t="s">
        <v>160</v>
      </c>
      <c r="B47" s="1533" t="s">
        <v>161</v>
      </c>
      <c r="C47" s="1533" t="s">
        <v>162</v>
      </c>
      <c r="D47" s="1533" t="s">
        <v>163</v>
      </c>
      <c r="E47" s="2429"/>
      <c r="F47" s="2429"/>
      <c r="G47" s="2429"/>
      <c r="H47" s="2429"/>
      <c r="I47" s="2426" t="str">
        <f>S46&amp;".1"</f>
        <v>....1</v>
      </c>
      <c r="J47" s="1533"/>
      <c r="K47" s="1533"/>
      <c r="L47" s="1534" t="s">
        <v>406</v>
      </c>
      <c r="P47" s="2427">
        <v>1</v>
      </c>
      <c r="Q47" s="1501"/>
      <c r="R47" s="526"/>
      <c r="S47" s="1506" t="str">
        <f>$I47</f>
        <v>....1</v>
      </c>
      <c r="T47" s="455" t="s">
        <v>407</v>
      </c>
      <c r="U47" s="470"/>
      <c r="V47" s="2415"/>
      <c r="W47" s="2416"/>
      <c r="X47" s="2416"/>
      <c r="Y47" s="2416"/>
      <c r="Z47" s="2416"/>
      <c r="AA47" s="2416"/>
      <c r="AB47" s="2416"/>
      <c r="AC47" s="2417"/>
      <c r="AD47" s="2415"/>
      <c r="AE47" s="2416"/>
      <c r="AF47" s="2416"/>
      <c r="AG47" s="2416"/>
      <c r="AH47" s="2416"/>
      <c r="AI47" s="2416"/>
      <c r="AJ47" s="2416"/>
      <c r="AK47" s="2416"/>
      <c r="AL47" s="2417"/>
      <c r="AM47" s="1428" t="s">
        <v>408</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160</v>
      </c>
      <c r="B48" s="1533" t="s">
        <v>161</v>
      </c>
      <c r="C48" s="1533" t="s">
        <v>162</v>
      </c>
      <c r="D48" s="1533" t="s">
        <v>163</v>
      </c>
      <c r="E48" s="2429"/>
      <c r="F48" s="2429"/>
      <c r="G48" s="2429"/>
      <c r="H48" s="2429"/>
      <c r="I48" s="2456"/>
      <c r="J48" s="2426" t="str">
        <f>I47&amp;".1"</f>
        <v>....1.1</v>
      </c>
      <c r="K48" s="1533"/>
      <c r="L48" s="1534" t="s">
        <v>409</v>
      </c>
      <c r="P48" s="2427"/>
      <c r="Q48" s="2427">
        <v>1</v>
      </c>
      <c r="R48" s="527"/>
      <c r="S48" s="1506" t="str">
        <f>$J48</f>
        <v>....1.1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21</v>
      </c>
    </row>
    <row customHeight="1" ht="22.049999999999997">
      <c r="A49" s="1533" t="s">
        <v>160</v>
      </c>
      <c r="B49" s="1533" t="s">
        <v>161</v>
      </c>
      <c r="C49" s="1533" t="s">
        <v>162</v>
      </c>
      <c r="D49" s="1533" t="s">
        <v>163</v>
      </c>
      <c r="E49" s="2429"/>
      <c r="F49" s="2429"/>
      <c r="G49" s="2429"/>
      <c r="H49" s="2429"/>
      <c r="I49" s="2456"/>
      <c r="J49" s="2456"/>
      <c r="K49" s="2426" t="str">
        <f>J48&amp;".1"</f>
        <v>....1.1.1</v>
      </c>
      <c r="L49" s="1534" t="s">
        <v>412</v>
      </c>
      <c r="P49" s="2427"/>
      <c r="Q49" s="2427"/>
      <c r="R49" s="527">
        <v>1</v>
      </c>
      <c r="S49" s="1506"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413</v>
      </c>
      <c r="AN49" s="681">
        <f>STRCHECKDATE(V50:AL50)</f>
      </c>
      <c r="AO49" s="670"/>
      <c r="AP49" s="670" t="str">
        <f>IF(T49="","",T49)</f>
        <v/>
      </c>
      <c r="AQ49" s="670"/>
      <c r="AR49" s="670"/>
      <c r="AS49" s="1325">
        <v>21</v>
      </c>
    </row>
    <row customHeight="1" ht="1.05">
      <c r="A50" s="1533" t="s">
        <v>160</v>
      </c>
      <c r="B50" s="1533" t="s">
        <v>161</v>
      </c>
      <c r="C50" s="1533" t="s">
        <v>162</v>
      </c>
      <c r="D50" s="1533" t="s">
        <v>163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160</v>
      </c>
      <c r="B51" s="1533" t="s">
        <v>161</v>
      </c>
      <c r="C51" s="1533" t="s">
        <v>162</v>
      </c>
      <c r="D51" s="1533" t="s">
        <v>163</v>
      </c>
      <c r="E51" s="2429"/>
      <c r="F51" s="2429"/>
      <c r="G51" s="2429"/>
      <c r="H51" s="2429"/>
      <c r="I51" s="2456"/>
      <c r="J51" s="2426"/>
      <c r="K51" s="1533"/>
      <c r="L51" s="1534"/>
      <c r="P51" s="2427"/>
      <c r="Q51" s="2427"/>
      <c r="R51" s="526"/>
      <c r="S51" s="1448"/>
      <c r="T51" s="458"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160</v>
      </c>
      <c r="B52" s="1533" t="s">
        <v>161</v>
      </c>
      <c r="C52" s="1533" t="s">
        <v>162</v>
      </c>
      <c r="D52" s="1533" t="s">
        <v>163</v>
      </c>
      <c r="E52" s="2429"/>
      <c r="F52" s="2429"/>
      <c r="G52" s="2429"/>
      <c r="H52" s="2429"/>
      <c r="I52" s="2426"/>
      <c r="J52" s="1533"/>
      <c r="K52" s="1533"/>
      <c r="L52" s="1534"/>
      <c r="P52" s="2427"/>
      <c r="Q52" s="1501"/>
      <c r="R52" s="526"/>
      <c r="S52" s="1448"/>
      <c r="T52" s="457"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160</v>
      </c>
      <c r="B53" s="1533" t="s">
        <v>161</v>
      </c>
      <c r="C53" s="1533" t="s">
        <v>162</v>
      </c>
      <c r="D53" s="1533" t="s">
        <v>163</v>
      </c>
      <c r="E53" s="2429"/>
      <c r="F53" s="2429"/>
      <c r="G53" s="2429"/>
      <c r="H53" s="2428"/>
      <c r="I53" s="1533"/>
      <c r="J53" s="1533"/>
      <c r="K53" s="1533"/>
      <c r="L53" s="1534"/>
      <c r="M53" s="1535"/>
      <c r="N53" s="1535"/>
      <c r="O53" s="707"/>
      <c r="P53" s="530"/>
      <c r="Q53" s="545"/>
      <c r="R53" s="525"/>
      <c r="S53" s="1448"/>
      <c r="T53" s="535" t="s">
        <v>416</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667" customFormat="1" customHeight="1" ht="1.05">
      <c r="A54" s="1513" t="s">
        <v>160</v>
      </c>
      <c r="B54" s="1513" t="s">
        <v>161</v>
      </c>
      <c r="C54" s="1513" t="s">
        <v>162</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667" customFormat="1" customHeight="1" ht="1.05">
      <c r="A55" s="1513" t="s">
        <v>160</v>
      </c>
      <c r="B55" s="1513" t="s">
        <v>161</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667" customFormat="1" customHeight="1" ht="1.05">
      <c r="A56" s="1513" t="s">
        <v>160</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66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80219-5A82-E648-8CF8-6FC2FA2943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589" width="10.57421875" hidden="1"/>
    <col min="2" max="2" style="9589" width="11.00390625" hidden="1" customWidth="1"/>
    <col min="3" max="3" style="9589" width="10.57421875" hidden="1"/>
    <col min="4" max="4" style="9589" width="11.8515625" hidden="1" customWidth="1"/>
    <col min="5" max="5" style="9589" width="10.00390625" hidden="1" customWidth="1"/>
    <col min="6" max="6" style="9589" width="8.7109375" hidden="1" customWidth="1"/>
    <col min="7" max="7" style="9589" width="7.57421875" hidden="1" customWidth="1"/>
    <col min="8" max="8" style="9589" width="11.421875" hidden="1" customWidth="1"/>
    <col min="9" max="9" style="9589" width="12.00390625" hidden="1" customWidth="1"/>
    <col min="10" max="10" style="9589" width="9.8515625" hidden="1" customWidth="1"/>
    <col min="11" max="11" style="9589" width="11.421875" hidden="1" customWidth="1"/>
    <col min="12" max="12" style="9664" width="19.140625" hidden="1" customWidth="1"/>
    <col min="13" max="14" style="10533" width="12.28125" hidden="1" customWidth="1"/>
    <col min="15" max="15" style="10533" width="23.421875" hidden="1" customWidth="1"/>
    <col min="16" max="16" style="10533" width="3.00390625"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406</v>
      </c>
      <c r="M6" s="1805"/>
      <c r="P6" s="2427">
        <v>1</v>
      </c>
      <c r="Q6" s="2124"/>
      <c r="R6" s="526"/>
      <c r="S6" s="2128">
        <f>$I6</f>
      </c>
      <c r="T6" s="455" t="s">
        <v>407</v>
      </c>
      <c r="U6" s="470"/>
      <c r="V6" s="2415"/>
      <c r="W6" s="2416"/>
      <c r="X6" s="2416"/>
      <c r="Y6" s="2416"/>
      <c r="Z6" s="2416"/>
      <c r="AA6" s="2416"/>
      <c r="AB6" s="2416"/>
      <c r="AC6" s="2417"/>
      <c r="AD6" s="2415"/>
      <c r="AE6" s="2416"/>
      <c r="AF6" s="2416"/>
      <c r="AG6" s="2416"/>
      <c r="AH6" s="2416"/>
      <c r="AI6" s="2416"/>
      <c r="AJ6" s="2416"/>
      <c r="AK6" s="2416"/>
      <c r="AL6" s="2417"/>
      <c r="AM6" s="1428" t="s">
        <v>408</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409</v>
      </c>
      <c r="M7" s="1805"/>
      <c r="N7" s="1801"/>
      <c r="P7" s="2427"/>
      <c r="Q7" s="2427">
        <v>1</v>
      </c>
      <c r="R7" s="527"/>
      <c r="S7" s="2128">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412</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414</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415</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416</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667"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667"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667"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666" customFormat="1" customHeight="1" ht="14.25" hidden="1">
      <c r="A20" s="1801"/>
      <c r="B20" s="1801"/>
      <c r="C20" s="1801"/>
      <c r="D20" s="1801"/>
      <c r="E20" s="1801"/>
      <c r="F20" s="1801"/>
      <c r="G20" s="1801"/>
      <c r="H20" s="1801"/>
      <c r="I20" s="1801"/>
      <c r="J20" s="1801"/>
      <c r="K20" s="1801"/>
      <c r="L20" s="2109"/>
      <c r="M20" s="2135"/>
      <c r="N20" s="2135"/>
      <c r="O20" s="1515" t="s">
        <v>418</v>
      </c>
      <c r="P20" s="1532"/>
      <c r="Q20" s="1541"/>
      <c r="R20" s="1541"/>
      <c r="S20" s="899"/>
      <c r="Z20" s="1537"/>
      <c r="AB20" s="1537"/>
      <c r="AH20" s="1537"/>
      <c r="AJ20" s="1537"/>
      <c r="AN20" s="1806"/>
      <c r="AO20" s="1806"/>
      <c r="AP20" s="1806"/>
      <c r="AQ20" s="1806"/>
      <c r="AR20" s="1806"/>
      <c r="AS20" s="1536">
        <v>0</v>
      </c>
    </row>
    <row s="966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666" customFormat="1" customHeight="1" ht="14.25" hidden="1">
      <c r="A22" s="1801"/>
      <c r="B22" s="1801"/>
      <c r="C22" s="1801"/>
      <c r="D22" s="1801"/>
      <c r="E22" s="1801"/>
      <c r="F22" s="1801"/>
      <c r="G22" s="1801"/>
      <c r="H22" s="1801"/>
      <c r="I22" s="1801"/>
      <c r="J22" s="1801"/>
      <c r="K22" s="1801"/>
      <c r="L22" s="2109"/>
      <c r="M22" s="2135"/>
      <c r="N22" s="2135"/>
      <c r="O22" s="1480" t="s">
        <v>419</v>
      </c>
      <c r="P22" s="1532"/>
      <c r="Q22" s="1541"/>
      <c r="R22" s="1541"/>
      <c r="S22" s="899"/>
      <c r="T22" s="1536" t="s">
        <v>420</v>
      </c>
      <c r="AA22" s="765" t="s">
        <v>421</v>
      </c>
      <c r="AC22" s="765" t="s">
        <v>422</v>
      </c>
      <c r="AD22" s="1536" t="s">
        <v>420</v>
      </c>
      <c r="AI22" s="765" t="s">
        <v>423</v>
      </c>
      <c r="AK22" s="765" t="s">
        <v>422</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79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9793" customFormat="1" customHeight="1" ht="18.75" hidden="1">
      <c r="A30" s="1418"/>
      <c r="B30" s="1418"/>
      <c r="C30" s="1418"/>
      <c r="D30" s="1418"/>
      <c r="E30" s="1418"/>
      <c r="F30" s="1418"/>
      <c r="G30" s="1418"/>
      <c r="H30" s="1418"/>
      <c r="I30" s="1418"/>
      <c r="J30" s="1418"/>
      <c r="K30" s="1418"/>
      <c r="L30" s="1550"/>
      <c r="M30" s="1418"/>
      <c r="N30" s="1418"/>
      <c r="O30" s="1418"/>
      <c r="S30" s="2420" t="s">
        <v>424</v>
      </c>
      <c r="T30" s="2420"/>
      <c r="U30" s="1542"/>
      <c r="V30" s="2434" t="str">
        <f>IF(TITLE_DATE_PR_CHANGE="",IF(TITLE_DATE_PR="","",TITLE_DATE_PR),TITLE_DATE_PR_CHANGE)</f>
        <v>45408.40866898148</v>
      </c>
      <c r="W30" s="2434"/>
      <c r="X30" s="2434"/>
      <c r="Y30" s="2434"/>
      <c r="Z30" s="2434"/>
      <c r="AA30" s="2434"/>
      <c r="AB30" s="2434"/>
      <c r="AC30" s="1805"/>
      <c r="AD30" s="2434" t="str">
        <f>IF(TITLE_DATE_PR_CHANGE="",IF(TITLE_DATE_PR="","",TITLE_DATE_PR),TITLE_DATE_PR_CHANGE)</f>
        <v>45408.40866898148</v>
      </c>
      <c r="AE30" s="2434"/>
      <c r="AF30" s="2434"/>
      <c r="AG30" s="2434"/>
      <c r="AH30" s="2434"/>
      <c r="AI30" s="2434"/>
      <c r="AJ30" s="2434"/>
      <c r="AK30" s="1805"/>
      <c r="AL30" s="1805"/>
      <c r="AM30" s="450"/>
      <c r="AN30" s="538"/>
      <c r="AO30" s="538"/>
      <c r="AP30" s="538"/>
      <c r="AQ30" s="538"/>
      <c r="AR30" s="538"/>
      <c r="AS30" s="588">
        <v>0</v>
      </c>
    </row>
    <row s="9793" customFormat="1" customHeight="1" ht="18.75" hidden="1">
      <c r="A31" s="1418"/>
      <c r="B31" s="1418"/>
      <c r="C31" s="1418"/>
      <c r="D31" s="1418"/>
      <c r="E31" s="1418"/>
      <c r="F31" s="1418"/>
      <c r="G31" s="1418"/>
      <c r="H31" s="1418"/>
      <c r="I31" s="1418"/>
      <c r="J31" s="1418"/>
      <c r="K31" s="1418"/>
      <c r="L31" s="1550"/>
      <c r="M31" s="1418"/>
      <c r="N31" s="1418"/>
      <c r="O31" s="1418"/>
      <c r="S31" s="2420" t="s">
        <v>425</v>
      </c>
      <c r="T31" s="2420"/>
      <c r="U31" s="1542"/>
      <c r="V31" s="2421" t="str">
        <f>IF(TITLE_NUMBER_PR_CHANGE="",IF(TITLE_NUMBER_PR="","",TITLE_NUMBER_PR),TITLE_NUMBER_PR_CHANGE)</f>
        <v>1005,1062</v>
      </c>
      <c r="W31" s="2421"/>
      <c r="X31" s="2421"/>
      <c r="Y31" s="2421"/>
      <c r="Z31" s="2421"/>
      <c r="AA31" s="2421"/>
      <c r="AB31" s="2421"/>
      <c r="AC31" s="1805"/>
      <c r="AD31" s="2421" t="str">
        <f>IF(TITLE_NUMBER_PR_CHANGE="",IF(TITLE_NUMBER_PR="","",TITLE_NUMBER_PR),TITLE_NUMBER_PR_CHANGE)</f>
        <v>1005,1062</v>
      </c>
      <c r="AE31" s="2421"/>
      <c r="AF31" s="2421"/>
      <c r="AG31" s="2421"/>
      <c r="AH31" s="2421"/>
      <c r="AI31" s="2421"/>
      <c r="AJ31" s="2421"/>
      <c r="AK31" s="1805"/>
      <c r="AL31" s="1805"/>
      <c r="AM31" s="450"/>
      <c r="AN31" s="538"/>
      <c r="AO31" s="538"/>
      <c r="AP31" s="538"/>
      <c r="AQ31" s="538"/>
      <c r="AR31" s="538"/>
      <c r="AS31" s="588">
        <v>0</v>
      </c>
    </row>
    <row s="979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793" customFormat="1" customHeight="1" ht="18.75" hidden="1">
      <c r="A34" s="1418"/>
      <c r="B34" s="1418"/>
      <c r="C34" s="1418"/>
      <c r="D34" s="1418"/>
      <c r="E34" s="1418"/>
      <c r="F34" s="1418"/>
      <c r="G34" s="1418"/>
      <c r="H34" s="1418"/>
      <c r="I34" s="1418"/>
      <c r="J34" s="1418"/>
      <c r="K34" s="1418"/>
      <c r="L34" s="1550"/>
      <c r="M34" s="1418"/>
      <c r="N34" s="1418"/>
      <c r="O34" s="1418"/>
      <c r="S34" s="2420" t="s">
        <v>426</v>
      </c>
      <c r="T34" s="2420"/>
      <c r="U34" s="1542"/>
      <c r="V34" s="2434" t="str">
        <f>IF(TITLE_DATE_PR_CHANGE="",IF(TITLE_DATE_PR="","",TITLE_DATE_PR),TITLE_DATE_PR_CHANGE)</f>
        <v>45408.40866898148</v>
      </c>
      <c r="W34" s="2434"/>
      <c r="X34" s="2434"/>
      <c r="Y34" s="2434"/>
      <c r="Z34" s="2434"/>
      <c r="AA34" s="2434"/>
      <c r="AB34" s="2434"/>
      <c r="AC34" s="1805"/>
      <c r="AD34" s="2434" t="str">
        <f>IF(TITLE_DATE_PR_CHANGE="",IF(TITLE_DATE_PR="","",TITLE_DATE_PR),TITLE_DATE_PR_CHANGE)</f>
        <v>45408.40866898148</v>
      </c>
      <c r="AE34" s="2434"/>
      <c r="AF34" s="2434"/>
      <c r="AG34" s="2434"/>
      <c r="AH34" s="2434"/>
      <c r="AI34" s="2434"/>
      <c r="AJ34" s="2434"/>
      <c r="AK34" s="1805"/>
      <c r="AL34" s="1805"/>
      <c r="AM34" s="450"/>
      <c r="AN34" s="538"/>
      <c r="AO34" s="538"/>
      <c r="AP34" s="538"/>
      <c r="AQ34" s="538"/>
      <c r="AR34" s="538"/>
      <c r="AS34" s="588">
        <v>0</v>
      </c>
    </row>
    <row s="9793" customFormat="1" customHeight="1" ht="18.75" hidden="1">
      <c r="A35" s="1418"/>
      <c r="B35" s="1418"/>
      <c r="C35" s="1418"/>
      <c r="D35" s="1418"/>
      <c r="E35" s="1418"/>
      <c r="F35" s="1418"/>
      <c r="G35" s="1418"/>
      <c r="H35" s="1418"/>
      <c r="I35" s="1418"/>
      <c r="J35" s="1418"/>
      <c r="K35" s="1418"/>
      <c r="L35" s="1550"/>
      <c r="M35" s="1418"/>
      <c r="N35" s="1418"/>
      <c r="O35" s="1418"/>
      <c r="S35" s="2420" t="s">
        <v>427</v>
      </c>
      <c r="T35" s="2420"/>
      <c r="U35" s="1542"/>
      <c r="V35" s="2421" t="str">
        <f>IF(TITLE_NUMBER_PR_CHANGE="",IF(TITLE_NUMBER_PR="","",TITLE_NUMBER_PR),TITLE_NUMBER_PR_CHANGE)</f>
        <v>1005,1062</v>
      </c>
      <c r="W35" s="2421"/>
      <c r="X35" s="2421"/>
      <c r="Y35" s="2421"/>
      <c r="Z35" s="2421"/>
      <c r="AA35" s="2421"/>
      <c r="AB35" s="2421"/>
      <c r="AC35" s="1805"/>
      <c r="AD35" s="2421" t="str">
        <f>IF(TITLE_NUMBER_PR_CHANGE="",IF(TITLE_NUMBER_PR="","",TITLE_NUMBER_PR),TITLE_NUMBER_PR_CHANGE)</f>
        <v>1005,1062</v>
      </c>
      <c r="AE35" s="2421"/>
      <c r="AF35" s="2421"/>
      <c r="AG35" s="2421"/>
      <c r="AH35" s="2421"/>
      <c r="AI35" s="2421"/>
      <c r="AJ35" s="2421"/>
      <c r="AK35" s="1805"/>
      <c r="AL35" s="1805"/>
      <c r="AM35" s="450"/>
      <c r="AN35" s="538"/>
      <c r="AO35" s="538"/>
      <c r="AP35" s="538"/>
      <c r="AQ35" s="538"/>
      <c r="AR35" s="538"/>
      <c r="AS35" s="588">
        <v>0</v>
      </c>
    </row>
    <row s="979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428</v>
      </c>
      <c r="AD36" s="1805"/>
      <c r="AE36" s="1805"/>
      <c r="AF36" s="1805"/>
      <c r="AG36" s="1805"/>
      <c r="AH36" s="1805"/>
      <c r="AI36" s="1805"/>
      <c r="AJ36" s="1805"/>
      <c r="AK36" s="1812" t="s">
        <v>428</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801">
        <v>14</v>
      </c>
    </row>
    <row customHeight="1" ht="14.699999999999998">
      <c r="Q39" s="546"/>
      <c r="R39" s="546"/>
      <c r="S39" s="2443" t="s">
        <v>87</v>
      </c>
      <c r="T39" s="2379" t="s">
        <v>429</v>
      </c>
      <c r="U39" s="507"/>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801">
        <v>14</v>
      </c>
    </row>
    <row customHeight="1" ht="35.699999999999996">
      <c r="Q40" s="546"/>
      <c r="R40" s="546"/>
      <c r="S40" s="2443"/>
      <c r="T40" s="2379"/>
      <c r="U40" s="1201"/>
      <c r="V40" s="2430" t="s">
        <v>434</v>
      </c>
      <c r="W40" s="2453" t="s">
        <v>435</v>
      </c>
      <c r="X40" s="2432" t="s">
        <v>436</v>
      </c>
      <c r="Y40" s="2433"/>
      <c r="Z40" s="2432" t="s">
        <v>449</v>
      </c>
      <c r="AA40" s="2439"/>
      <c r="AB40" s="2433"/>
      <c r="AC40" s="2448"/>
      <c r="AD40" s="2430" t="s">
        <v>434</v>
      </c>
      <c r="AE40" s="2453" t="s">
        <v>435</v>
      </c>
      <c r="AF40" s="2432" t="s">
        <v>436</v>
      </c>
      <c r="AG40" s="2433"/>
      <c r="AH40" s="2432" t="s">
        <v>437</v>
      </c>
      <c r="AI40" s="2439"/>
      <c r="AJ40" s="2433"/>
      <c r="AK40" s="2448"/>
      <c r="AL40" s="2451"/>
      <c r="AM40" s="2297"/>
      <c r="AS40" s="1801">
        <v>34</v>
      </c>
    </row>
    <row customHeight="1" ht="35.699999999999996">
      <c r="A41" s="1436"/>
      <c r="B41" s="1436" t="s">
        <v>134</v>
      </c>
      <c r="C41" s="1436" t="s">
        <v>135</v>
      </c>
      <c r="D41" s="1436" t="s">
        <v>136</v>
      </c>
      <c r="E41" s="1480" t="s">
        <v>438</v>
      </c>
      <c r="F41" s="1480" t="s">
        <v>439</v>
      </c>
      <c r="G41" s="1480" t="s">
        <v>440</v>
      </c>
      <c r="H41" s="1480" t="s">
        <v>441</v>
      </c>
      <c r="I41" s="1480" t="s">
        <v>442</v>
      </c>
      <c r="J41" s="1480" t="s">
        <v>443</v>
      </c>
      <c r="K41" s="1480" t="s">
        <v>444</v>
      </c>
      <c r="L41" s="1480" t="s">
        <v>419</v>
      </c>
      <c r="Q41" s="546"/>
      <c r="R41" s="546"/>
      <c r="S41" s="2443"/>
      <c r="T41" s="2379"/>
      <c r="U41" s="472"/>
      <c r="V41" s="2431"/>
      <c r="W41" s="2454"/>
      <c r="X41" s="2108" t="s">
        <v>445</v>
      </c>
      <c r="Y41" s="2108" t="s">
        <v>446</v>
      </c>
      <c r="Z41" s="2108" t="s">
        <v>447</v>
      </c>
      <c r="AA41" s="2440" t="s">
        <v>448</v>
      </c>
      <c r="AB41" s="2441"/>
      <c r="AC41" s="2449"/>
      <c r="AD41" s="2431"/>
      <c r="AE41" s="2454"/>
      <c r="AF41" s="2108" t="s">
        <v>445</v>
      </c>
      <c r="AG41" s="2108" t="s">
        <v>446</v>
      </c>
      <c r="AH41" s="2108" t="s">
        <v>447</v>
      </c>
      <c r="AI41" s="2440" t="s">
        <v>448</v>
      </c>
      <c r="AJ41" s="2441"/>
      <c r="AK41" s="2449"/>
      <c r="AL41" s="2452"/>
      <c r="AM41" s="2297"/>
      <c r="AS41" s="1801">
        <v>34</v>
      </c>
    </row>
    <row s="10287"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108</v>
      </c>
      <c r="T42" s="1425" t="s">
        <v>109</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209</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209</v>
      </c>
      <c r="B44" s="1437" t="s">
        <v>210</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1794"/>
      <c r="AP44" s="1794" t="str">
        <f>IF(T44="","",T44)</f>
        <v>Территория действия тарифа</v>
      </c>
      <c r="AQ44" s="1794"/>
      <c r="AR44" s="1794"/>
      <c r="AS44" s="1801">
        <v>21</v>
      </c>
    </row>
    <row customHeight="1" ht="24">
      <c r="A45" s="1437" t="s">
        <v>209</v>
      </c>
      <c r="B45" s="1437" t="s">
        <v>210</v>
      </c>
      <c r="C45" s="1437" t="s">
        <v>211</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1794"/>
      <c r="AP45" s="1794" t="str">
        <f>IF(T45="","",T45)</f>
        <v>Наименование системы теплоснабжения </v>
      </c>
      <c r="AQ45" s="1794"/>
      <c r="AR45" s="1794"/>
      <c r="AS45" s="1801">
        <v>23</v>
      </c>
    </row>
    <row customHeight="1" ht="22.049999999999997">
      <c r="A46" s="1437" t="s">
        <v>209</v>
      </c>
      <c r="B46" s="1437" t="s">
        <v>210</v>
      </c>
      <c r="C46" s="1437" t="s">
        <v>211</v>
      </c>
      <c r="D46" s="1437" t="s">
        <v>212</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1794"/>
      <c r="AP46" s="1794" t="str">
        <f>IF(T46="","",T46)</f>
        <v>Источник тепловой энергии  </v>
      </c>
      <c r="AQ46" s="1794"/>
      <c r="AR46" s="1794"/>
      <c r="AS46" s="1801">
        <v>21</v>
      </c>
    </row>
    <row customHeight="1" ht="49.5">
      <c r="A47" s="1437" t="s">
        <v>209</v>
      </c>
      <c r="B47" s="1437" t="s">
        <v>210</v>
      </c>
      <c r="C47" s="1437" t="s">
        <v>211</v>
      </c>
      <c r="D47" s="1437" t="s">
        <v>212</v>
      </c>
      <c r="E47" s="2460"/>
      <c r="F47" s="2460"/>
      <c r="G47" s="2460"/>
      <c r="H47" s="2460"/>
      <c r="I47" s="2297" t="str">
        <f>S46&amp;".1"</f>
        <v>....1</v>
      </c>
      <c r="J47" s="1437"/>
      <c r="K47" s="1437"/>
      <c r="L47" s="1480" t="s">
        <v>406</v>
      </c>
      <c r="P47" s="2427">
        <v>1</v>
      </c>
      <c r="Q47" s="2124"/>
      <c r="R47" s="526"/>
      <c r="S47" s="2128" t="str">
        <f>$I47</f>
        <v>....1</v>
      </c>
      <c r="T47" s="455" t="s">
        <v>407</v>
      </c>
      <c r="U47" s="470"/>
      <c r="V47" s="2415"/>
      <c r="W47" s="2416"/>
      <c r="X47" s="2416"/>
      <c r="Y47" s="2416"/>
      <c r="Z47" s="2416"/>
      <c r="AA47" s="2416"/>
      <c r="AB47" s="2416"/>
      <c r="AC47" s="2417"/>
      <c r="AD47" s="2415"/>
      <c r="AE47" s="2416"/>
      <c r="AF47" s="2416"/>
      <c r="AG47" s="2416"/>
      <c r="AH47" s="2416"/>
      <c r="AI47" s="2416"/>
      <c r="AJ47" s="2416"/>
      <c r="AK47" s="2416"/>
      <c r="AL47" s="2417"/>
      <c r="AM47" s="1428" t="s">
        <v>408</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209</v>
      </c>
      <c r="B48" s="1437" t="s">
        <v>210</v>
      </c>
      <c r="C48" s="1437" t="s">
        <v>211</v>
      </c>
      <c r="D48" s="1437" t="s">
        <v>212</v>
      </c>
      <c r="E48" s="2460"/>
      <c r="F48" s="2460"/>
      <c r="G48" s="2460"/>
      <c r="H48" s="2460"/>
      <c r="I48" s="2271"/>
      <c r="J48" s="2297" t="str">
        <f>I47&amp;".1"</f>
        <v>....1.1</v>
      </c>
      <c r="K48" s="1437"/>
      <c r="L48" s="1480" t="s">
        <v>409</v>
      </c>
      <c r="P48" s="2427"/>
      <c r="Q48" s="2427">
        <v>1</v>
      </c>
      <c r="R48" s="527"/>
      <c r="S48" s="2128" t="str">
        <f>$J48</f>
        <v>....1.1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1794"/>
      <c r="AP48" s="1794" t="str">
        <f>IF(T48="","",T48)</f>
        <v>Группа потребителей</v>
      </c>
      <c r="AQ48" s="1794"/>
      <c r="AR48" s="1794"/>
      <c r="AS48" s="1801">
        <v>21</v>
      </c>
    </row>
    <row customHeight="1" ht="22.049999999999997">
      <c r="A49" s="1437" t="s">
        <v>209</v>
      </c>
      <c r="B49" s="1437" t="s">
        <v>210</v>
      </c>
      <c r="C49" s="1437" t="s">
        <v>211</v>
      </c>
      <c r="D49" s="1437" t="s">
        <v>212</v>
      </c>
      <c r="E49" s="2460"/>
      <c r="F49" s="2460"/>
      <c r="G49" s="2460"/>
      <c r="H49" s="2460"/>
      <c r="I49" s="2271"/>
      <c r="J49" s="2271"/>
      <c r="K49" s="2297" t="str">
        <f>J48&amp;".1"</f>
        <v>....1.1.1</v>
      </c>
      <c r="L49" s="1480" t="s">
        <v>412</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413</v>
      </c>
      <c r="AN49" s="1806">
        <f>STRCHECKDATE(V50:AL50)</f>
      </c>
      <c r="AO49" s="1794"/>
      <c r="AP49" s="1794" t="str">
        <f>IF(T49="","",T49)</f>
        <v/>
      </c>
      <c r="AQ49" s="1794"/>
      <c r="AR49" s="1794"/>
      <c r="AS49" s="1801">
        <v>21</v>
      </c>
    </row>
    <row customHeight="1" ht="1.05">
      <c r="A50" s="1437" t="s">
        <v>209</v>
      </c>
      <c r="B50" s="1437" t="s">
        <v>210</v>
      </c>
      <c r="C50" s="1437" t="s">
        <v>211</v>
      </c>
      <c r="D50" s="1437" t="s">
        <v>212</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209</v>
      </c>
      <c r="B51" s="1437" t="s">
        <v>210</v>
      </c>
      <c r="C51" s="1437" t="s">
        <v>211</v>
      </c>
      <c r="D51" s="1437" t="s">
        <v>212</v>
      </c>
      <c r="E51" s="2460"/>
      <c r="F51" s="2460"/>
      <c r="G51" s="2460"/>
      <c r="H51" s="2460"/>
      <c r="I51" s="2271"/>
      <c r="J51" s="2297"/>
      <c r="K51" s="1437"/>
      <c r="L51" s="1480"/>
      <c r="P51" s="2427"/>
      <c r="Q51" s="2427"/>
      <c r="R51" s="526"/>
      <c r="S51" s="1448"/>
      <c r="T51" s="458" t="s">
        <v>414</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209</v>
      </c>
      <c r="B52" s="1437" t="s">
        <v>210</v>
      </c>
      <c r="C52" s="1437" t="s">
        <v>211</v>
      </c>
      <c r="D52" s="1437" t="s">
        <v>212</v>
      </c>
      <c r="E52" s="2460"/>
      <c r="F52" s="2460"/>
      <c r="G52" s="2460"/>
      <c r="H52" s="2460"/>
      <c r="I52" s="2297"/>
      <c r="J52" s="1437"/>
      <c r="K52" s="1437"/>
      <c r="L52" s="1480"/>
      <c r="P52" s="2427"/>
      <c r="Q52" s="2124"/>
      <c r="R52" s="526"/>
      <c r="S52" s="1448"/>
      <c r="T52" s="457" t="s">
        <v>415</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209</v>
      </c>
      <c r="B53" s="1437" t="s">
        <v>210</v>
      </c>
      <c r="C53" s="1437" t="s">
        <v>211</v>
      </c>
      <c r="D53" s="1437" t="s">
        <v>212</v>
      </c>
      <c r="E53" s="2460"/>
      <c r="F53" s="2460"/>
      <c r="G53" s="2460"/>
      <c r="H53" s="2459"/>
      <c r="I53" s="1437"/>
      <c r="J53" s="1437"/>
      <c r="K53" s="1437"/>
      <c r="L53" s="1480"/>
      <c r="M53" s="1780"/>
      <c r="N53" s="1780"/>
      <c r="O53" s="1805"/>
      <c r="P53" s="530"/>
      <c r="Q53" s="545"/>
      <c r="R53" s="525"/>
      <c r="S53" s="1448"/>
      <c r="T53" s="535" t="s">
        <v>416</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667" customFormat="1" customHeight="1" ht="4.2">
      <c r="A54" s="1545" t="s">
        <v>209</v>
      </c>
      <c r="B54" s="1545" t="s">
        <v>210</v>
      </c>
      <c r="C54" s="1545" t="s">
        <v>211</v>
      </c>
      <c r="D54" s="1544"/>
      <c r="E54" s="2460"/>
      <c r="F54" s="2460"/>
      <c r="G54" s="2459"/>
      <c r="H54" s="1544"/>
      <c r="I54" s="1544"/>
      <c r="J54" s="1544"/>
      <c r="K54" s="1544"/>
      <c r="L54" s="1547"/>
      <c r="M54" s="1548"/>
      <c r="N54" s="1548"/>
      <c r="O54" s="521"/>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9667" customFormat="1" customHeight="1" ht="4.2">
      <c r="A55" s="1545" t="s">
        <v>209</v>
      </c>
      <c r="B55" s="1545" t="s">
        <v>210</v>
      </c>
      <c r="C55" s="1544"/>
      <c r="D55" s="1544"/>
      <c r="E55" s="2460"/>
      <c r="F55" s="2459"/>
      <c r="G55" s="1544"/>
      <c r="H55" s="1544"/>
      <c r="I55" s="1544"/>
      <c r="J55" s="1544"/>
      <c r="K55" s="1544"/>
      <c r="L55" s="1547"/>
      <c r="M55" s="1549"/>
      <c r="N55" s="1549"/>
      <c r="O55" s="52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9667" customFormat="1" customHeight="1" ht="4.2">
      <c r="A56" s="1545" t="s">
        <v>209</v>
      </c>
      <c r="B56" s="1545"/>
      <c r="C56" s="1545"/>
      <c r="D56" s="1545"/>
      <c r="E56" s="2459"/>
      <c r="F56" s="1545"/>
      <c r="G56" s="1545"/>
      <c r="H56" s="1545"/>
      <c r="I56" s="1545"/>
      <c r="J56" s="1545"/>
      <c r="K56" s="1545"/>
      <c r="L56" s="1551"/>
      <c r="M56" s="1549"/>
      <c r="N56" s="1549"/>
      <c r="O56" s="521"/>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9667"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24178-6D7F-CFCF-0034-183305E88B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589" width="10.57421875" hidden="1"/>
    <col min="2" max="2" style="9589" width="11.00390625" hidden="1" customWidth="1"/>
    <col min="3" max="3" style="9589" width="10.57421875" hidden="1"/>
    <col min="4" max="4" style="9589" width="11.8515625" hidden="1" customWidth="1"/>
    <col min="5" max="5" style="9589" width="10.00390625" hidden="1" customWidth="1"/>
    <col min="6" max="6" style="9589" width="8.7109375" hidden="1" customWidth="1"/>
    <col min="7" max="7" style="9589" width="7.57421875" hidden="1" customWidth="1"/>
    <col min="8" max="8" style="9589" width="11.421875" hidden="1" customWidth="1"/>
    <col min="9" max="9" style="9589" width="12.00390625" hidden="1" customWidth="1"/>
    <col min="10" max="10" style="9589" width="9.8515625" hidden="1" customWidth="1"/>
    <col min="11" max="11" style="9589" width="11.421875" hidden="1" customWidth="1"/>
    <col min="12" max="12" style="9664" width="19.140625" hidden="1" customWidth="1"/>
    <col min="13" max="14" style="10533" width="12.28125" hidden="1" customWidth="1"/>
    <col min="15" max="15" style="10533" width="23.421875" hidden="1" customWidth="1"/>
    <col min="16" max="16" style="10533" width="3.00390625"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406</v>
      </c>
      <c r="M6" s="1805"/>
      <c r="P6" s="2427">
        <v>1</v>
      </c>
      <c r="Q6" s="2124"/>
      <c r="R6" s="526"/>
      <c r="S6" s="2128">
        <f>$I6</f>
      </c>
      <c r="T6" s="455" t="s">
        <v>407</v>
      </c>
      <c r="U6" s="470"/>
      <c r="V6" s="2415"/>
      <c r="W6" s="2416"/>
      <c r="X6" s="2416"/>
      <c r="Y6" s="2416"/>
      <c r="Z6" s="2416"/>
      <c r="AA6" s="2416"/>
      <c r="AB6" s="2416"/>
      <c r="AC6" s="2417"/>
      <c r="AD6" s="2415"/>
      <c r="AE6" s="2416"/>
      <c r="AF6" s="2416"/>
      <c r="AG6" s="2416"/>
      <c r="AH6" s="2416"/>
      <c r="AI6" s="2416"/>
      <c r="AJ6" s="2416"/>
      <c r="AK6" s="2416"/>
      <c r="AL6" s="2417"/>
      <c r="AM6" s="1428" t="s">
        <v>408</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409</v>
      </c>
      <c r="M7" s="1805"/>
      <c r="N7" s="1801"/>
      <c r="P7" s="2427"/>
      <c r="Q7" s="2427">
        <v>1</v>
      </c>
      <c r="R7" s="527"/>
      <c r="S7" s="2128">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412</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414</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415</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416</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667"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667"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667"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666" customFormat="1" customHeight="1" ht="14.25" hidden="1">
      <c r="A20" s="1801"/>
      <c r="B20" s="1801"/>
      <c r="C20" s="1801"/>
      <c r="D20" s="1801"/>
      <c r="E20" s="1801"/>
      <c r="F20" s="1801"/>
      <c r="G20" s="1801"/>
      <c r="H20" s="1801"/>
      <c r="I20" s="1801"/>
      <c r="J20" s="1801"/>
      <c r="K20" s="1801"/>
      <c r="L20" s="2109"/>
      <c r="M20" s="2135"/>
      <c r="N20" s="2135"/>
      <c r="O20" s="1515" t="s">
        <v>418</v>
      </c>
      <c r="P20" s="1532"/>
      <c r="Q20" s="1541"/>
      <c r="R20" s="1541"/>
      <c r="S20" s="899"/>
      <c r="Z20" s="1537"/>
      <c r="AB20" s="1537"/>
      <c r="AH20" s="1537"/>
      <c r="AJ20" s="1537"/>
      <c r="AN20" s="1806"/>
      <c r="AO20" s="1806"/>
      <c r="AP20" s="1806"/>
      <c r="AQ20" s="1806"/>
      <c r="AR20" s="1806"/>
      <c r="AS20" s="1536">
        <v>0</v>
      </c>
    </row>
    <row s="966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666" customFormat="1" customHeight="1" ht="14.25" hidden="1">
      <c r="A22" s="1801"/>
      <c r="B22" s="1801"/>
      <c r="C22" s="1801"/>
      <c r="D22" s="1801"/>
      <c r="E22" s="1801"/>
      <c r="F22" s="1801"/>
      <c r="G22" s="1801"/>
      <c r="H22" s="1801"/>
      <c r="I22" s="1801"/>
      <c r="J22" s="1801"/>
      <c r="K22" s="1801"/>
      <c r="L22" s="2109"/>
      <c r="M22" s="2135"/>
      <c r="N22" s="2135"/>
      <c r="O22" s="1480" t="s">
        <v>419</v>
      </c>
      <c r="P22" s="1532"/>
      <c r="Q22" s="1541"/>
      <c r="R22" s="1541"/>
      <c r="S22" s="899"/>
      <c r="T22" s="1536" t="s">
        <v>420</v>
      </c>
      <c r="AA22" s="765" t="s">
        <v>421</v>
      </c>
      <c r="AC22" s="765" t="s">
        <v>422</v>
      </c>
      <c r="AD22" s="1536" t="s">
        <v>420</v>
      </c>
      <c r="AI22" s="765" t="s">
        <v>423</v>
      </c>
      <c r="AK22" s="765" t="s">
        <v>422</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79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9793" customFormat="1" customHeight="1" ht="18.75" hidden="1">
      <c r="A30" s="1418"/>
      <c r="B30" s="1418"/>
      <c r="C30" s="1418"/>
      <c r="D30" s="1418"/>
      <c r="E30" s="1418"/>
      <c r="F30" s="1418"/>
      <c r="G30" s="1418"/>
      <c r="H30" s="1418"/>
      <c r="I30" s="1418"/>
      <c r="J30" s="1418"/>
      <c r="K30" s="1418"/>
      <c r="L30" s="1550"/>
      <c r="M30" s="1418"/>
      <c r="N30" s="1418"/>
      <c r="O30" s="1418"/>
      <c r="S30" s="2420" t="s">
        <v>424</v>
      </c>
      <c r="T30" s="2420"/>
      <c r="U30" s="1542"/>
      <c r="V30" s="2434" t="str">
        <f>IF(TITLE_DATE_PR_CHANGE="",IF(TITLE_DATE_PR="","",TITLE_DATE_PR),TITLE_DATE_PR_CHANGE)</f>
        <v>45408.40866898148</v>
      </c>
      <c r="W30" s="2434"/>
      <c r="X30" s="2434"/>
      <c r="Y30" s="2434"/>
      <c r="Z30" s="2434"/>
      <c r="AA30" s="2434"/>
      <c r="AB30" s="2434"/>
      <c r="AC30" s="1805"/>
      <c r="AD30" s="2434" t="str">
        <f>IF(TITLE_DATE_PR_CHANGE="",IF(TITLE_DATE_PR="","",TITLE_DATE_PR),TITLE_DATE_PR_CHANGE)</f>
        <v>45408.40866898148</v>
      </c>
      <c r="AE30" s="2434"/>
      <c r="AF30" s="2434"/>
      <c r="AG30" s="2434"/>
      <c r="AH30" s="2434"/>
      <c r="AI30" s="2434"/>
      <c r="AJ30" s="2434"/>
      <c r="AK30" s="1805"/>
      <c r="AL30" s="1805"/>
      <c r="AM30" s="450"/>
      <c r="AN30" s="538"/>
      <c r="AO30" s="538"/>
      <c r="AP30" s="538"/>
      <c r="AQ30" s="538"/>
      <c r="AR30" s="538"/>
      <c r="AS30" s="588">
        <v>0</v>
      </c>
    </row>
    <row s="9793" customFormat="1" customHeight="1" ht="18.75" hidden="1">
      <c r="A31" s="1418"/>
      <c r="B31" s="1418"/>
      <c r="C31" s="1418"/>
      <c r="D31" s="1418"/>
      <c r="E31" s="1418"/>
      <c r="F31" s="1418"/>
      <c r="G31" s="1418"/>
      <c r="H31" s="1418"/>
      <c r="I31" s="1418"/>
      <c r="J31" s="1418"/>
      <c r="K31" s="1418"/>
      <c r="L31" s="1550"/>
      <c r="M31" s="1418"/>
      <c r="N31" s="1418"/>
      <c r="O31" s="1418"/>
      <c r="S31" s="2420" t="s">
        <v>425</v>
      </c>
      <c r="T31" s="2420"/>
      <c r="U31" s="1542"/>
      <c r="V31" s="2421" t="str">
        <f>IF(TITLE_NUMBER_PR_CHANGE="",IF(TITLE_NUMBER_PR="","",TITLE_NUMBER_PR),TITLE_NUMBER_PR_CHANGE)</f>
        <v>1005,1062</v>
      </c>
      <c r="W31" s="2421"/>
      <c r="X31" s="2421"/>
      <c r="Y31" s="2421"/>
      <c r="Z31" s="2421"/>
      <c r="AA31" s="2421"/>
      <c r="AB31" s="2421"/>
      <c r="AC31" s="1805"/>
      <c r="AD31" s="2421" t="str">
        <f>IF(TITLE_NUMBER_PR_CHANGE="",IF(TITLE_NUMBER_PR="","",TITLE_NUMBER_PR),TITLE_NUMBER_PR_CHANGE)</f>
        <v>1005,1062</v>
      </c>
      <c r="AE31" s="2421"/>
      <c r="AF31" s="2421"/>
      <c r="AG31" s="2421"/>
      <c r="AH31" s="2421"/>
      <c r="AI31" s="2421"/>
      <c r="AJ31" s="2421"/>
      <c r="AK31" s="1805"/>
      <c r="AL31" s="1805"/>
      <c r="AM31" s="450"/>
      <c r="AN31" s="538"/>
      <c r="AO31" s="538"/>
      <c r="AP31" s="538"/>
      <c r="AQ31" s="538"/>
      <c r="AR31" s="538"/>
      <c r="AS31" s="588">
        <v>0</v>
      </c>
    </row>
    <row s="979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793" customFormat="1" customHeight="1" ht="18.75" hidden="1">
      <c r="A34" s="1418"/>
      <c r="B34" s="1418"/>
      <c r="C34" s="1418"/>
      <c r="D34" s="1418"/>
      <c r="E34" s="1418"/>
      <c r="F34" s="1418"/>
      <c r="G34" s="1418"/>
      <c r="H34" s="1418"/>
      <c r="I34" s="1418"/>
      <c r="J34" s="1418"/>
      <c r="K34" s="1418"/>
      <c r="L34" s="1550"/>
      <c r="M34" s="1418"/>
      <c r="N34" s="1418"/>
      <c r="O34" s="1418"/>
      <c r="S34" s="2420" t="s">
        <v>426</v>
      </c>
      <c r="T34" s="2420"/>
      <c r="U34" s="1542"/>
      <c r="V34" s="2434" t="str">
        <f>IF(TITLE_DATE_PR_CHANGE="",IF(TITLE_DATE_PR="","",TITLE_DATE_PR),TITLE_DATE_PR_CHANGE)</f>
        <v>45408.40866898148</v>
      </c>
      <c r="W34" s="2434"/>
      <c r="X34" s="2434"/>
      <c r="Y34" s="2434"/>
      <c r="Z34" s="2434"/>
      <c r="AA34" s="2434"/>
      <c r="AB34" s="2434"/>
      <c r="AC34" s="1805"/>
      <c r="AD34" s="2434" t="str">
        <f>IF(TITLE_DATE_PR_CHANGE="",IF(TITLE_DATE_PR="","",TITLE_DATE_PR),TITLE_DATE_PR_CHANGE)</f>
        <v>45408.40866898148</v>
      </c>
      <c r="AE34" s="2434"/>
      <c r="AF34" s="2434"/>
      <c r="AG34" s="2434"/>
      <c r="AH34" s="2434"/>
      <c r="AI34" s="2434"/>
      <c r="AJ34" s="2434"/>
      <c r="AK34" s="1805"/>
      <c r="AL34" s="1805"/>
      <c r="AM34" s="450"/>
      <c r="AN34" s="538"/>
      <c r="AO34" s="538"/>
      <c r="AP34" s="538"/>
      <c r="AQ34" s="538"/>
      <c r="AR34" s="538"/>
      <c r="AS34" s="588">
        <v>0</v>
      </c>
    </row>
    <row s="9793" customFormat="1" customHeight="1" ht="18.75" hidden="1">
      <c r="A35" s="1418"/>
      <c r="B35" s="1418"/>
      <c r="C35" s="1418"/>
      <c r="D35" s="1418"/>
      <c r="E35" s="1418"/>
      <c r="F35" s="1418"/>
      <c r="G35" s="1418"/>
      <c r="H35" s="1418"/>
      <c r="I35" s="1418"/>
      <c r="J35" s="1418"/>
      <c r="K35" s="1418"/>
      <c r="L35" s="1550"/>
      <c r="M35" s="1418"/>
      <c r="N35" s="1418"/>
      <c r="O35" s="1418"/>
      <c r="S35" s="2420" t="s">
        <v>427</v>
      </c>
      <c r="T35" s="2420"/>
      <c r="U35" s="1542"/>
      <c r="V35" s="2421" t="str">
        <f>IF(TITLE_NUMBER_PR_CHANGE="",IF(TITLE_NUMBER_PR="","",TITLE_NUMBER_PR),TITLE_NUMBER_PR_CHANGE)</f>
        <v>1005,1062</v>
      </c>
      <c r="W35" s="2421"/>
      <c r="X35" s="2421"/>
      <c r="Y35" s="2421"/>
      <c r="Z35" s="2421"/>
      <c r="AA35" s="2421"/>
      <c r="AB35" s="2421"/>
      <c r="AC35" s="1805"/>
      <c r="AD35" s="2421" t="str">
        <f>IF(TITLE_NUMBER_PR_CHANGE="",IF(TITLE_NUMBER_PR="","",TITLE_NUMBER_PR),TITLE_NUMBER_PR_CHANGE)</f>
        <v>1005,1062</v>
      </c>
      <c r="AE35" s="2421"/>
      <c r="AF35" s="2421"/>
      <c r="AG35" s="2421"/>
      <c r="AH35" s="2421"/>
      <c r="AI35" s="2421"/>
      <c r="AJ35" s="2421"/>
      <c r="AK35" s="1805"/>
      <c r="AL35" s="1805"/>
      <c r="AM35" s="450"/>
      <c r="AN35" s="538"/>
      <c r="AO35" s="538"/>
      <c r="AP35" s="538"/>
      <c r="AQ35" s="538"/>
      <c r="AR35" s="538"/>
      <c r="AS35" s="588">
        <v>0</v>
      </c>
    </row>
    <row s="979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428</v>
      </c>
      <c r="AD36" s="1805"/>
      <c r="AE36" s="1805"/>
      <c r="AF36" s="1805"/>
      <c r="AG36" s="1805"/>
      <c r="AH36" s="1805"/>
      <c r="AI36" s="1805"/>
      <c r="AJ36" s="1805"/>
      <c r="AK36" s="1812" t="s">
        <v>428</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801">
        <v>14</v>
      </c>
    </row>
    <row customHeight="1" ht="14.699999999999998">
      <c r="Q39" s="546"/>
      <c r="R39" s="546"/>
      <c r="S39" s="2443" t="s">
        <v>87</v>
      </c>
      <c r="T39" s="2379" t="s">
        <v>429</v>
      </c>
      <c r="U39" s="507"/>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801">
        <v>14</v>
      </c>
    </row>
    <row customHeight="1" ht="35.699999999999996">
      <c r="Q40" s="546"/>
      <c r="R40" s="546"/>
      <c r="S40" s="2443"/>
      <c r="T40" s="2379"/>
      <c r="U40" s="1201"/>
      <c r="V40" s="2430" t="s">
        <v>434</v>
      </c>
      <c r="W40" s="2453" t="s">
        <v>435</v>
      </c>
      <c r="X40" s="2432" t="s">
        <v>436</v>
      </c>
      <c r="Y40" s="2433"/>
      <c r="Z40" s="2432" t="s">
        <v>449</v>
      </c>
      <c r="AA40" s="2439"/>
      <c r="AB40" s="2433"/>
      <c r="AC40" s="2448"/>
      <c r="AD40" s="2430" t="s">
        <v>434</v>
      </c>
      <c r="AE40" s="2453" t="s">
        <v>435</v>
      </c>
      <c r="AF40" s="2432" t="s">
        <v>436</v>
      </c>
      <c r="AG40" s="2433"/>
      <c r="AH40" s="2432" t="s">
        <v>437</v>
      </c>
      <c r="AI40" s="2439"/>
      <c r="AJ40" s="2433"/>
      <c r="AK40" s="2448"/>
      <c r="AL40" s="2451"/>
      <c r="AM40" s="2297"/>
      <c r="AS40" s="1801">
        <v>34</v>
      </c>
    </row>
    <row customHeight="1" ht="35.699999999999996">
      <c r="A41" s="1436"/>
      <c r="B41" s="1436" t="s">
        <v>134</v>
      </c>
      <c r="C41" s="1436" t="s">
        <v>135</v>
      </c>
      <c r="D41" s="1436" t="s">
        <v>136</v>
      </c>
      <c r="E41" s="1480" t="s">
        <v>438</v>
      </c>
      <c r="F41" s="1480" t="s">
        <v>439</v>
      </c>
      <c r="G41" s="1480" t="s">
        <v>440</v>
      </c>
      <c r="H41" s="1480" t="s">
        <v>441</v>
      </c>
      <c r="I41" s="1480" t="s">
        <v>442</v>
      </c>
      <c r="J41" s="1480" t="s">
        <v>443</v>
      </c>
      <c r="K41" s="1480" t="s">
        <v>444</v>
      </c>
      <c r="L41" s="1480" t="s">
        <v>419</v>
      </c>
      <c r="Q41" s="546"/>
      <c r="R41" s="546"/>
      <c r="S41" s="2443"/>
      <c r="T41" s="2379"/>
      <c r="U41" s="472"/>
      <c r="V41" s="2431"/>
      <c r="W41" s="2454"/>
      <c r="X41" s="2108" t="s">
        <v>445</v>
      </c>
      <c r="Y41" s="2108" t="s">
        <v>446</v>
      </c>
      <c r="Z41" s="2108" t="s">
        <v>447</v>
      </c>
      <c r="AA41" s="2440" t="s">
        <v>448</v>
      </c>
      <c r="AB41" s="2441"/>
      <c r="AC41" s="2449"/>
      <c r="AD41" s="2431"/>
      <c r="AE41" s="2454"/>
      <c r="AF41" s="2108" t="s">
        <v>445</v>
      </c>
      <c r="AG41" s="2108" t="s">
        <v>446</v>
      </c>
      <c r="AH41" s="2108" t="s">
        <v>447</v>
      </c>
      <c r="AI41" s="2440" t="s">
        <v>448</v>
      </c>
      <c r="AJ41" s="2441"/>
      <c r="AK41" s="2449"/>
      <c r="AL41" s="2452"/>
      <c r="AM41" s="2297"/>
      <c r="AS41" s="1801">
        <v>34</v>
      </c>
    </row>
    <row s="10287"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108</v>
      </c>
      <c r="T42" s="1425" t="s">
        <v>109</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209</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209</v>
      </c>
      <c r="B44" s="1437" t="s">
        <v>210</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1794"/>
      <c r="AP44" s="1794" t="str">
        <f>IF(T44="","",T44)</f>
        <v>Территория действия тарифа</v>
      </c>
      <c r="AQ44" s="1794"/>
      <c r="AR44" s="1794"/>
      <c r="AS44" s="1801">
        <v>21</v>
      </c>
    </row>
    <row customHeight="1" ht="24">
      <c r="A45" s="1437" t="s">
        <v>209</v>
      </c>
      <c r="B45" s="1437" t="s">
        <v>210</v>
      </c>
      <c r="C45" s="1437" t="s">
        <v>211</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1794"/>
      <c r="AP45" s="1794" t="str">
        <f>IF(T45="","",T45)</f>
        <v>Наименование системы теплоснабжения </v>
      </c>
      <c r="AQ45" s="1794"/>
      <c r="AR45" s="1794"/>
      <c r="AS45" s="1801">
        <v>23</v>
      </c>
    </row>
    <row customHeight="1" ht="22.049999999999997">
      <c r="A46" s="1437" t="s">
        <v>209</v>
      </c>
      <c r="B46" s="1437" t="s">
        <v>210</v>
      </c>
      <c r="C46" s="1437" t="s">
        <v>211</v>
      </c>
      <c r="D46" s="1437" t="s">
        <v>212</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1794"/>
      <c r="AP46" s="1794" t="str">
        <f>IF(T46="","",T46)</f>
        <v>Источник тепловой энергии  </v>
      </c>
      <c r="AQ46" s="1794"/>
      <c r="AR46" s="1794"/>
      <c r="AS46" s="1801">
        <v>21</v>
      </c>
    </row>
    <row customHeight="1" ht="49.5">
      <c r="A47" s="1437" t="s">
        <v>209</v>
      </c>
      <c r="B47" s="1437" t="s">
        <v>210</v>
      </c>
      <c r="C47" s="1437" t="s">
        <v>211</v>
      </c>
      <c r="D47" s="1437" t="s">
        <v>212</v>
      </c>
      <c r="E47" s="2460"/>
      <c r="F47" s="2460"/>
      <c r="G47" s="2460"/>
      <c r="H47" s="2460"/>
      <c r="I47" s="2297" t="str">
        <f>S46&amp;".1"</f>
        <v>....1</v>
      </c>
      <c r="J47" s="1437"/>
      <c r="K47" s="1437"/>
      <c r="L47" s="1480" t="s">
        <v>406</v>
      </c>
      <c r="P47" s="2427">
        <v>1</v>
      </c>
      <c r="Q47" s="2124"/>
      <c r="R47" s="526"/>
      <c r="S47" s="2128" t="str">
        <f>$I47</f>
        <v>....1</v>
      </c>
      <c r="T47" s="455" t="s">
        <v>407</v>
      </c>
      <c r="U47" s="470"/>
      <c r="V47" s="2415"/>
      <c r="W47" s="2416"/>
      <c r="X47" s="2416"/>
      <c r="Y47" s="2416"/>
      <c r="Z47" s="2416"/>
      <c r="AA47" s="2416"/>
      <c r="AB47" s="2416"/>
      <c r="AC47" s="2417"/>
      <c r="AD47" s="2415"/>
      <c r="AE47" s="2416"/>
      <c r="AF47" s="2416"/>
      <c r="AG47" s="2416"/>
      <c r="AH47" s="2416"/>
      <c r="AI47" s="2416"/>
      <c r="AJ47" s="2416"/>
      <c r="AK47" s="2416"/>
      <c r="AL47" s="2417"/>
      <c r="AM47" s="1428" t="s">
        <v>408</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209</v>
      </c>
      <c r="B48" s="1437" t="s">
        <v>210</v>
      </c>
      <c r="C48" s="1437" t="s">
        <v>211</v>
      </c>
      <c r="D48" s="1437" t="s">
        <v>212</v>
      </c>
      <c r="E48" s="2460"/>
      <c r="F48" s="2460"/>
      <c r="G48" s="2460"/>
      <c r="H48" s="2460"/>
      <c r="I48" s="2271"/>
      <c r="J48" s="2297" t="str">
        <f>I47&amp;".1"</f>
        <v>....1.1</v>
      </c>
      <c r="K48" s="1437"/>
      <c r="L48" s="1480" t="s">
        <v>409</v>
      </c>
      <c r="P48" s="2427"/>
      <c r="Q48" s="2427">
        <v>1</v>
      </c>
      <c r="R48" s="527"/>
      <c r="S48" s="2128" t="str">
        <f>$J48</f>
        <v>....1.1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1794"/>
      <c r="AP48" s="1794" t="str">
        <f>IF(T48="","",T48)</f>
        <v>Группа потребителей</v>
      </c>
      <c r="AQ48" s="1794"/>
      <c r="AR48" s="1794"/>
      <c r="AS48" s="1801">
        <v>21</v>
      </c>
    </row>
    <row customHeight="1" ht="22.049999999999997">
      <c r="A49" s="1437" t="s">
        <v>209</v>
      </c>
      <c r="B49" s="1437" t="s">
        <v>210</v>
      </c>
      <c r="C49" s="1437" t="s">
        <v>211</v>
      </c>
      <c r="D49" s="1437" t="s">
        <v>212</v>
      </c>
      <c r="E49" s="2460"/>
      <c r="F49" s="2460"/>
      <c r="G49" s="2460"/>
      <c r="H49" s="2460"/>
      <c r="I49" s="2271"/>
      <c r="J49" s="2271"/>
      <c r="K49" s="2297" t="str">
        <f>J48&amp;".1"</f>
        <v>....1.1.1</v>
      </c>
      <c r="L49" s="1480" t="s">
        <v>412</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413</v>
      </c>
      <c r="AN49" s="1806">
        <f>STRCHECKDATE(V50:AL50)</f>
      </c>
      <c r="AO49" s="1794"/>
      <c r="AP49" s="1794" t="str">
        <f>IF(T49="","",T49)</f>
        <v/>
      </c>
      <c r="AQ49" s="1794"/>
      <c r="AR49" s="1794"/>
      <c r="AS49" s="1801">
        <v>21</v>
      </c>
    </row>
    <row customHeight="1" ht="1.05">
      <c r="A50" s="1437" t="s">
        <v>209</v>
      </c>
      <c r="B50" s="1437" t="s">
        <v>210</v>
      </c>
      <c r="C50" s="1437" t="s">
        <v>211</v>
      </c>
      <c r="D50" s="1437" t="s">
        <v>212</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209</v>
      </c>
      <c r="B51" s="1437" t="s">
        <v>210</v>
      </c>
      <c r="C51" s="1437" t="s">
        <v>211</v>
      </c>
      <c r="D51" s="1437" t="s">
        <v>212</v>
      </c>
      <c r="E51" s="2460"/>
      <c r="F51" s="2460"/>
      <c r="G51" s="2460"/>
      <c r="H51" s="2460"/>
      <c r="I51" s="2271"/>
      <c r="J51" s="2297"/>
      <c r="K51" s="1437"/>
      <c r="L51" s="1480"/>
      <c r="P51" s="2427"/>
      <c r="Q51" s="2427"/>
      <c r="R51" s="526"/>
      <c r="S51" s="1448"/>
      <c r="T51" s="458" t="s">
        <v>414</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209</v>
      </c>
      <c r="B52" s="1437" t="s">
        <v>210</v>
      </c>
      <c r="C52" s="1437" t="s">
        <v>211</v>
      </c>
      <c r="D52" s="1437" t="s">
        <v>212</v>
      </c>
      <c r="E52" s="2460"/>
      <c r="F52" s="2460"/>
      <c r="G52" s="2460"/>
      <c r="H52" s="2460"/>
      <c r="I52" s="2297"/>
      <c r="J52" s="1437"/>
      <c r="K52" s="1437"/>
      <c r="L52" s="1480"/>
      <c r="P52" s="2427"/>
      <c r="Q52" s="2124"/>
      <c r="R52" s="526"/>
      <c r="S52" s="1448"/>
      <c r="T52" s="457" t="s">
        <v>415</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209</v>
      </c>
      <c r="B53" s="1437" t="s">
        <v>210</v>
      </c>
      <c r="C53" s="1437" t="s">
        <v>211</v>
      </c>
      <c r="D53" s="1437" t="s">
        <v>212</v>
      </c>
      <c r="E53" s="2460"/>
      <c r="F53" s="2460"/>
      <c r="G53" s="2460"/>
      <c r="H53" s="2459"/>
      <c r="I53" s="1437"/>
      <c r="J53" s="1437"/>
      <c r="K53" s="1437"/>
      <c r="L53" s="1480"/>
      <c r="M53" s="1780"/>
      <c r="N53" s="1780"/>
      <c r="O53" s="1805"/>
      <c r="P53" s="530"/>
      <c r="Q53" s="545"/>
      <c r="R53" s="525"/>
      <c r="S53" s="1448"/>
      <c r="T53" s="535" t="s">
        <v>416</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667" customFormat="1" customHeight="1" ht="1.05">
      <c r="A54" s="1437" t="s">
        <v>209</v>
      </c>
      <c r="B54" s="1437" t="s">
        <v>210</v>
      </c>
      <c r="C54" s="1437" t="s">
        <v>211</v>
      </c>
      <c r="D54" s="2144"/>
      <c r="E54" s="2460"/>
      <c r="F54" s="2460"/>
      <c r="G54" s="2459"/>
      <c r="H54" s="2144"/>
      <c r="I54" s="2144"/>
      <c r="J54" s="2144"/>
      <c r="K54" s="2144"/>
      <c r="L54" s="1550"/>
      <c r="M54" s="1780"/>
      <c r="N54" s="1780"/>
      <c r="O54" s="180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9667" customFormat="1" customHeight="1" ht="1.05">
      <c r="A55" s="1437" t="s">
        <v>209</v>
      </c>
      <c r="B55" s="1437" t="s">
        <v>210</v>
      </c>
      <c r="C55" s="2144"/>
      <c r="D55" s="2144"/>
      <c r="E55" s="2460"/>
      <c r="F55" s="2459"/>
      <c r="G55" s="2144"/>
      <c r="H55" s="2144"/>
      <c r="I55" s="2144"/>
      <c r="J55" s="2144"/>
      <c r="K55" s="2144"/>
      <c r="L55" s="1550"/>
      <c r="M55" s="2145"/>
      <c r="N55" s="2145"/>
      <c r="O55" s="1805"/>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9667" customFormat="1" customHeight="1" ht="1.05">
      <c r="A56" s="1437" t="s">
        <v>209</v>
      </c>
      <c r="B56" s="1437"/>
      <c r="C56" s="1437"/>
      <c r="D56" s="1437"/>
      <c r="E56" s="2459"/>
      <c r="F56" s="1437"/>
      <c r="G56" s="1437"/>
      <c r="H56" s="1437"/>
      <c r="I56" s="1437"/>
      <c r="J56" s="1437"/>
      <c r="K56" s="1437"/>
      <c r="L56" s="1480"/>
      <c r="M56" s="2145"/>
      <c r="N56" s="2145"/>
      <c r="O56" s="1805"/>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9667"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89FFD-6A04-3457-85F3-3E23D27AF3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1.00390625" customWidth="1"/>
    <col min="21" max="21" style="9589" width="0.7109375" hidden="1" customWidth="1"/>
    <col min="22" max="22" style="9589" width="1.7109375" hidden="1" customWidth="1"/>
    <col min="23" max="23" style="9589" width="24.7109375" hidden="1" customWidth="1"/>
    <col min="24" max="25" style="9589" width="0.14062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0.140625" customWidth="1"/>
    <col min="31" max="31" style="9589" width="24.00390625" customWidth="1"/>
    <col min="32" max="33" style="9589" width="0.14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406</v>
      </c>
      <c r="M6" s="707"/>
      <c r="P6" s="2427">
        <v>1</v>
      </c>
      <c r="Q6" s="1501"/>
      <c r="R6" s="526"/>
      <c r="S6" s="1506">
        <f>$I6</f>
      </c>
      <c r="T6" s="455" t="s">
        <v>407</v>
      </c>
      <c r="U6" s="470"/>
      <c r="V6" s="2415"/>
      <c r="W6" s="2416"/>
      <c r="X6" s="2416"/>
      <c r="Y6" s="2416"/>
      <c r="Z6" s="2416"/>
      <c r="AA6" s="2416"/>
      <c r="AB6" s="2416"/>
      <c r="AC6" s="2417"/>
      <c r="AD6" s="2415"/>
      <c r="AE6" s="2416"/>
      <c r="AF6" s="2416"/>
      <c r="AG6" s="2416"/>
      <c r="AH6" s="2416"/>
      <c r="AI6" s="2416"/>
      <c r="AJ6" s="2416"/>
      <c r="AK6" s="2416"/>
      <c r="AL6" s="2417"/>
      <c r="AM6" s="1428" t="s">
        <v>408</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409</v>
      </c>
      <c r="M7" s="707"/>
      <c r="N7" s="1536"/>
      <c r="P7" s="2427"/>
      <c r="Q7" s="2427">
        <v>1</v>
      </c>
      <c r="R7" s="527"/>
      <c r="S7" s="1506">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412</v>
      </c>
      <c r="M8" s="707"/>
      <c r="N8" s="1536"/>
      <c r="O8" s="1536"/>
      <c r="P8" s="2427"/>
      <c r="Q8" s="2427"/>
      <c r="R8" s="527">
        <v>1</v>
      </c>
      <c r="S8" s="1506">
        <f>$K8</f>
      </c>
      <c r="T8" s="1517"/>
      <c r="U8" s="470"/>
      <c r="V8" s="495"/>
      <c r="W8" s="921"/>
      <c r="X8" s="495"/>
      <c r="Y8" s="554"/>
      <c r="Z8" s="2435"/>
      <c r="AA8" s="2277" t="s">
        <v>65</v>
      </c>
      <c r="AB8" s="2435"/>
      <c r="AC8" s="2277" t="s">
        <v>65</v>
      </c>
      <c r="AD8" s="495"/>
      <c r="AE8" s="921"/>
      <c r="AF8" s="495"/>
      <c r="AG8" s="554"/>
      <c r="AH8" s="2435"/>
      <c r="AI8" s="2277" t="s">
        <v>65</v>
      </c>
      <c r="AJ8" s="2435"/>
      <c r="AK8" s="2277" t="s">
        <v>65</v>
      </c>
      <c r="AL8" s="495"/>
      <c r="AM8" s="2423" t="s">
        <v>413</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416</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66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33.7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18.7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61"/>
      <c r="Y39" s="2461"/>
      <c r="Z39" s="2445"/>
      <c r="AA39" s="2445"/>
      <c r="AB39" s="2446"/>
      <c r="AC39" s="2447" t="s">
        <v>431</v>
      </c>
      <c r="AD39" s="2444" t="s">
        <v>430</v>
      </c>
      <c r="AE39" s="2445"/>
      <c r="AF39" s="2461"/>
      <c r="AG39" s="2461"/>
      <c r="AH39" s="2445"/>
      <c r="AI39" s="2445"/>
      <c r="AJ39" s="2446"/>
      <c r="AK39" s="2447" t="s">
        <v>432</v>
      </c>
      <c r="AL39" s="2450" t="s">
        <v>433</v>
      </c>
      <c r="AM39" s="2297"/>
      <c r="AS39" s="1325">
        <v>14</v>
      </c>
    </row>
    <row customHeight="1" ht="24">
      <c r="Q40" s="546"/>
      <c r="R40" s="546"/>
      <c r="S40" s="2443"/>
      <c r="T40" s="2379"/>
      <c r="U40" s="1201"/>
      <c r="V40" s="2462" t="s">
        <v>434</v>
      </c>
      <c r="W40" s="2464" t="s">
        <v>435</v>
      </c>
      <c r="X40" s="1546" t="s">
        <v>436</v>
      </c>
      <c r="Y40" s="1546"/>
      <c r="Z40" s="2439" t="s">
        <v>437</v>
      </c>
      <c r="AA40" s="2439"/>
      <c r="AB40" s="2433"/>
      <c r="AC40" s="2448"/>
      <c r="AD40" s="2462" t="s">
        <v>434</v>
      </c>
      <c r="AE40" s="2464" t="s">
        <v>435</v>
      </c>
      <c r="AF40" s="1546" t="s">
        <v>436</v>
      </c>
      <c r="AG40" s="1546"/>
      <c r="AH40" s="2439" t="s">
        <v>437</v>
      </c>
      <c r="AI40" s="2439"/>
      <c r="AJ40" s="2433"/>
      <c r="AK40" s="2448"/>
      <c r="AL40" s="2451"/>
      <c r="AM40" s="2297"/>
      <c r="AS40" s="1325">
        <v>23</v>
      </c>
    </row>
    <row s="9845" customFormat="1" customHeight="1" ht="24">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M41" s="1532"/>
      <c r="N41" s="1532"/>
      <c r="O41" s="1532"/>
      <c r="P41" s="1498"/>
      <c r="Q41" s="546"/>
      <c r="R41" s="546"/>
      <c r="S41" s="2443"/>
      <c r="T41" s="2379"/>
      <c r="U41" s="472"/>
      <c r="V41" s="2463"/>
      <c r="W41" s="2465"/>
      <c r="X41" s="1543" t="s">
        <v>445</v>
      </c>
      <c r="Y41" s="1543" t="s">
        <v>446</v>
      </c>
      <c r="Z41" s="1504" t="s">
        <v>447</v>
      </c>
      <c r="AA41" s="2440" t="s">
        <v>448</v>
      </c>
      <c r="AB41" s="2441"/>
      <c r="AC41" s="2449"/>
      <c r="AD41" s="2463"/>
      <c r="AE41" s="2465"/>
      <c r="AF41" s="1543" t="s">
        <v>445</v>
      </c>
      <c r="AG41" s="1543" t="s">
        <v>446</v>
      </c>
      <c r="AH41" s="1504" t="s">
        <v>447</v>
      </c>
      <c r="AI41" s="2440" t="s">
        <v>448</v>
      </c>
      <c r="AJ41" s="2441"/>
      <c r="AK41" s="2449"/>
      <c r="AL41" s="2452"/>
      <c r="AM41" s="2297"/>
      <c r="AN41" s="681"/>
      <c r="AO41" s="670"/>
      <c r="AP41" s="670"/>
      <c r="AQ41" s="670"/>
      <c r="AR41" s="670"/>
      <c r="AS41" s="752">
        <v>23</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191</v>
      </c>
      <c r="B44" s="1533" t="s">
        <v>192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21</v>
      </c>
    </row>
    <row customHeight="1" ht="24">
      <c r="A45" s="1533" t="s">
        <v>191</v>
      </c>
      <c r="B45" s="1533" t="s">
        <v>192</v>
      </c>
      <c r="C45" s="1533" t="s">
        <v>193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2.049999999999997">
      <c r="A46" s="1533" t="s">
        <v>191</v>
      </c>
      <c r="B46" s="1533" t="s">
        <v>192</v>
      </c>
      <c r="C46" s="1533" t="s">
        <v>193</v>
      </c>
      <c r="D46" s="1533" t="s">
        <v>194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21</v>
      </c>
    </row>
    <row customHeight="1" ht="49.5">
      <c r="A47" s="1533" t="s">
        <v>191</v>
      </c>
      <c r="B47" s="1533" t="s">
        <v>192</v>
      </c>
      <c r="C47" s="1533" t="s">
        <v>193</v>
      </c>
      <c r="D47" s="1533" t="s">
        <v>194</v>
      </c>
      <c r="E47" s="2429"/>
      <c r="F47" s="2429"/>
      <c r="G47" s="2429"/>
      <c r="H47" s="2429"/>
      <c r="I47" s="2426" t="str">
        <f>S46&amp;".1"</f>
        <v>....1</v>
      </c>
      <c r="J47" s="1533"/>
      <c r="K47" s="1533"/>
      <c r="L47" s="1534" t="s">
        <v>406</v>
      </c>
      <c r="P47" s="2427">
        <v>1</v>
      </c>
      <c r="Q47" s="1501"/>
      <c r="R47" s="526"/>
      <c r="S47" s="1506" t="str">
        <f>$I47</f>
        <v>....1</v>
      </c>
      <c r="T47" s="455" t="s">
        <v>407</v>
      </c>
      <c r="U47" s="470"/>
      <c r="V47" s="2415"/>
      <c r="W47" s="2416"/>
      <c r="X47" s="2416"/>
      <c r="Y47" s="2416"/>
      <c r="Z47" s="2416"/>
      <c r="AA47" s="2416"/>
      <c r="AB47" s="2416"/>
      <c r="AC47" s="2417"/>
      <c r="AD47" s="2415"/>
      <c r="AE47" s="2416"/>
      <c r="AF47" s="2416"/>
      <c r="AG47" s="2416"/>
      <c r="AH47" s="2416"/>
      <c r="AI47" s="2416"/>
      <c r="AJ47" s="2416"/>
      <c r="AK47" s="2416"/>
      <c r="AL47" s="2417"/>
      <c r="AM47" s="1428" t="s">
        <v>408</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191</v>
      </c>
      <c r="B48" s="1533" t="s">
        <v>192</v>
      </c>
      <c r="C48" s="1533" t="s">
        <v>193</v>
      </c>
      <c r="D48" s="1533" t="s">
        <v>194</v>
      </c>
      <c r="E48" s="2429"/>
      <c r="F48" s="2429"/>
      <c r="G48" s="2429"/>
      <c r="H48" s="2429"/>
      <c r="I48" s="2456"/>
      <c r="J48" s="2426" t="str">
        <f>I47&amp;".1"</f>
        <v>....1.1</v>
      </c>
      <c r="K48" s="1533"/>
      <c r="L48" s="1534" t="s">
        <v>409</v>
      </c>
      <c r="P48" s="2427"/>
      <c r="Q48" s="2427">
        <v>1</v>
      </c>
      <c r="R48" s="527"/>
      <c r="S48" s="1506" t="str">
        <f>$J48</f>
        <v>....1.1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21</v>
      </c>
    </row>
    <row customHeight="1" ht="22.049999999999997">
      <c r="A49" s="1533" t="s">
        <v>191</v>
      </c>
      <c r="B49" s="1533" t="s">
        <v>192</v>
      </c>
      <c r="C49" s="1533" t="s">
        <v>193</v>
      </c>
      <c r="D49" s="1533" t="s">
        <v>194</v>
      </c>
      <c r="E49" s="2429"/>
      <c r="F49" s="2429"/>
      <c r="G49" s="2429"/>
      <c r="H49" s="2429"/>
      <c r="I49" s="2456"/>
      <c r="J49" s="2456"/>
      <c r="K49" s="2426" t="str">
        <f>J48&amp;".1"</f>
        <v>....1.1.1</v>
      </c>
      <c r="L49" s="1534" t="s">
        <v>412</v>
      </c>
      <c r="P49" s="2427"/>
      <c r="Q49" s="2427"/>
      <c r="R49" s="527">
        <v>1</v>
      </c>
      <c r="S49" s="1506" t="str">
        <f>$K49</f>
        <v>....1.1.1</v>
      </c>
      <c r="T49" s="1517"/>
      <c r="U49" s="470"/>
      <c r="V49" s="495"/>
      <c r="W49" s="921"/>
      <c r="X49" s="495"/>
      <c r="Y49" s="554"/>
      <c r="Z49" s="2435"/>
      <c r="AA49" s="2277" t="s">
        <v>65</v>
      </c>
      <c r="AB49" s="2435"/>
      <c r="AC49" s="2277" t="s">
        <v>65</v>
      </c>
      <c r="AD49" s="495"/>
      <c r="AE49" s="921"/>
      <c r="AF49" s="495"/>
      <c r="AG49" s="554"/>
      <c r="AH49" s="2435"/>
      <c r="AI49" s="2277" t="s">
        <v>65</v>
      </c>
      <c r="AJ49" s="2457"/>
      <c r="AK49" s="2277" t="s">
        <v>65</v>
      </c>
      <c r="AL49" s="1518"/>
      <c r="AM49" s="2423" t="s">
        <v>413</v>
      </c>
      <c r="AN49" s="681">
        <f>STRCHECKDATE(V50:AL50)</f>
      </c>
      <c r="AO49" s="670"/>
      <c r="AP49" s="670" t="str">
        <f>IF(T49="","",T49)</f>
        <v/>
      </c>
      <c r="AQ49" s="670"/>
      <c r="AR49" s="670"/>
      <c r="AS49" s="1325">
        <v>21</v>
      </c>
    </row>
    <row customHeight="1" ht="1.05">
      <c r="A50" s="1533" t="s">
        <v>191</v>
      </c>
      <c r="B50" s="1533" t="s">
        <v>192</v>
      </c>
      <c r="C50" s="1533" t="s">
        <v>193</v>
      </c>
      <c r="D50" s="1533" t="s">
        <v>194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191</v>
      </c>
      <c r="B51" s="1533" t="s">
        <v>192</v>
      </c>
      <c r="C51" s="1533" t="s">
        <v>193</v>
      </c>
      <c r="D51" s="1533" t="s">
        <v>194</v>
      </c>
      <c r="E51" s="2429"/>
      <c r="F51" s="2429"/>
      <c r="G51" s="2429"/>
      <c r="H51" s="2429"/>
      <c r="I51" s="2456"/>
      <c r="J51" s="2426"/>
      <c r="K51" s="1533"/>
      <c r="L51" s="1534"/>
      <c r="P51" s="2427"/>
      <c r="Q51" s="2427"/>
      <c r="R51" s="526"/>
      <c r="S51" s="1448"/>
      <c r="T51" s="458"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191</v>
      </c>
      <c r="B52" s="1533" t="s">
        <v>192</v>
      </c>
      <c r="C52" s="1533" t="s">
        <v>193</v>
      </c>
      <c r="D52" s="1533" t="s">
        <v>194</v>
      </c>
      <c r="E52" s="2429"/>
      <c r="F52" s="2429"/>
      <c r="G52" s="2429"/>
      <c r="H52" s="2429"/>
      <c r="I52" s="2426"/>
      <c r="J52" s="1533"/>
      <c r="K52" s="1533"/>
      <c r="L52" s="1534"/>
      <c r="P52" s="2427"/>
      <c r="Q52" s="1501"/>
      <c r="R52" s="526"/>
      <c r="S52" s="1448"/>
      <c r="T52" s="457"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191</v>
      </c>
      <c r="B53" s="1533" t="s">
        <v>192</v>
      </c>
      <c r="C53" s="1533" t="s">
        <v>193</v>
      </c>
      <c r="D53" s="1533" t="s">
        <v>194</v>
      </c>
      <c r="E53" s="2429"/>
      <c r="F53" s="2429"/>
      <c r="G53" s="2429"/>
      <c r="H53" s="2428"/>
      <c r="I53" s="1533"/>
      <c r="J53" s="1533"/>
      <c r="K53" s="1533"/>
      <c r="L53" s="1534"/>
      <c r="M53" s="1535"/>
      <c r="N53" s="1535"/>
      <c r="O53" s="707"/>
      <c r="P53" s="530"/>
      <c r="Q53" s="545"/>
      <c r="R53" s="525"/>
      <c r="S53" s="1448"/>
      <c r="T53" s="535" t="s">
        <v>416</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667" customFormat="1" customHeight="1" ht="1.05">
      <c r="A54" s="1513" t="s">
        <v>191</v>
      </c>
      <c r="B54" s="1513" t="s">
        <v>192</v>
      </c>
      <c r="C54" s="1513" t="s">
        <v>193</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667" customFormat="1" customHeight="1" ht="1.05">
      <c r="A55" s="1513" t="s">
        <v>191</v>
      </c>
      <c r="B55" s="1513" t="s">
        <v>192</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667" customFormat="1" customHeight="1" ht="1.05">
      <c r="A56" s="1513" t="s">
        <v>191</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66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82D64-A7EE-9502-0A53-AE1ED38D3B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7109375" hidden="1"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406</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409</v>
      </c>
      <c r="M7" s="707"/>
      <c r="N7" s="1536"/>
      <c r="P7" s="2427"/>
      <c r="Q7" s="2427">
        <v>1</v>
      </c>
      <c r="R7" s="527"/>
      <c r="S7" s="1506">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412</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66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14.2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18.7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325">
        <v>14</v>
      </c>
    </row>
    <row customHeight="1" ht="35.699999999999996">
      <c r="Q40" s="546"/>
      <c r="R40" s="546"/>
      <c r="S40" s="2443"/>
      <c r="T40" s="2379"/>
      <c r="U40" s="1201"/>
      <c r="V40" s="2430" t="s">
        <v>434</v>
      </c>
      <c r="W40" s="2453"/>
      <c r="X40" s="2432" t="s">
        <v>436</v>
      </c>
      <c r="Y40" s="2433"/>
      <c r="Z40" s="2432" t="s">
        <v>437</v>
      </c>
      <c r="AA40" s="2439"/>
      <c r="AB40" s="2433"/>
      <c r="AC40" s="2448"/>
      <c r="AD40" s="2430" t="s">
        <v>450</v>
      </c>
      <c r="AE40" s="2453"/>
      <c r="AF40" s="2432" t="s">
        <v>436</v>
      </c>
      <c r="AG40" s="2433"/>
      <c r="AH40" s="2432" t="s">
        <v>437</v>
      </c>
      <c r="AI40" s="2439"/>
      <c r="AJ40" s="2433"/>
      <c r="AK40" s="2448"/>
      <c r="AL40" s="2451"/>
      <c r="AM40" s="2297"/>
      <c r="AS40" s="1325">
        <v>34</v>
      </c>
    </row>
    <row customHeight="1" ht="35.699999999999996">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Q41" s="546"/>
      <c r="R41" s="546"/>
      <c r="S41" s="2443"/>
      <c r="T41" s="2379"/>
      <c r="U41" s="472"/>
      <c r="V41" s="2431"/>
      <c r="W41" s="2454"/>
      <c r="X41" s="1392" t="s">
        <v>445</v>
      </c>
      <c r="Y41" s="1392" t="s">
        <v>446</v>
      </c>
      <c r="Z41" s="1508" t="s">
        <v>447</v>
      </c>
      <c r="AA41" s="2440" t="s">
        <v>448</v>
      </c>
      <c r="AB41" s="2441"/>
      <c r="AC41" s="2449"/>
      <c r="AD41" s="2431"/>
      <c r="AE41" s="2454"/>
      <c r="AF41" s="1392" t="s">
        <v>445</v>
      </c>
      <c r="AG41" s="1392" t="s">
        <v>446</v>
      </c>
      <c r="AH41" s="1508" t="s">
        <v>447</v>
      </c>
      <c r="AI41" s="2440" t="s">
        <v>448</v>
      </c>
      <c r="AJ41" s="2441"/>
      <c r="AK41" s="2449"/>
      <c r="AL41" s="2452"/>
      <c r="AM41" s="2297"/>
      <c r="AS41" s="1325">
        <v>34</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167</v>
      </c>
      <c r="B44" s="1533" t="s">
        <v>168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21</v>
      </c>
    </row>
    <row customHeight="1" ht="24">
      <c r="A45" s="1533" t="s">
        <v>167</v>
      </c>
      <c r="B45" s="1533" t="s">
        <v>168</v>
      </c>
      <c r="C45" s="1533" t="s">
        <v>169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2.049999999999997">
      <c r="A46" s="1533" t="s">
        <v>167</v>
      </c>
      <c r="B46" s="1533" t="s">
        <v>168</v>
      </c>
      <c r="C46" s="1533" t="s">
        <v>169</v>
      </c>
      <c r="D46" s="1533" t="s">
        <v>170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21</v>
      </c>
    </row>
    <row s="9667" customFormat="1" customHeight="1" ht="0">
      <c r="A47" s="1513" t="s">
        <v>167</v>
      </c>
      <c r="B47" s="1513" t="s">
        <v>168</v>
      </c>
      <c r="C47" s="1513" t="s">
        <v>169</v>
      </c>
      <c r="D47" s="1513" t="s">
        <v>170</v>
      </c>
      <c r="E47" s="2429"/>
      <c r="F47" s="2429"/>
      <c r="G47" s="2429"/>
      <c r="H47" s="2429"/>
      <c r="I47" s="2426" t="str">
        <f>S46&amp;".1"</f>
        <v>....1</v>
      </c>
      <c r="J47" s="1513"/>
      <c r="K47" s="1513"/>
      <c r="L47" s="1516" t="s">
        <v>406</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167</v>
      </c>
      <c r="B48" s="1533" t="s">
        <v>168</v>
      </c>
      <c r="C48" s="1533" t="s">
        <v>169</v>
      </c>
      <c r="D48" s="1533" t="s">
        <v>170</v>
      </c>
      <c r="E48" s="2429"/>
      <c r="F48" s="2429"/>
      <c r="G48" s="2429"/>
      <c r="H48" s="2429"/>
      <c r="I48" s="2456"/>
      <c r="J48" s="2426" t="str">
        <f>S46&amp;".1"</f>
        <v>....1</v>
      </c>
      <c r="K48" s="1533"/>
      <c r="L48" s="1534" t="s">
        <v>409</v>
      </c>
      <c r="P48" s="2427"/>
      <c r="Q48" s="2427">
        <v>1</v>
      </c>
      <c r="R48" s="527"/>
      <c r="S48" s="1506" t="str">
        <f>$J48</f>
        <v>....1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21</v>
      </c>
    </row>
    <row customHeight="1" ht="22.049999999999997">
      <c r="A49" s="1533" t="s">
        <v>167</v>
      </c>
      <c r="B49" s="1533" t="s">
        <v>168</v>
      </c>
      <c r="C49" s="1533" t="s">
        <v>169</v>
      </c>
      <c r="D49" s="1533" t="s">
        <v>170</v>
      </c>
      <c r="E49" s="2429"/>
      <c r="F49" s="2429"/>
      <c r="G49" s="2429"/>
      <c r="H49" s="2429"/>
      <c r="I49" s="2456"/>
      <c r="J49" s="2456"/>
      <c r="K49" s="2426" t="str">
        <f>J48&amp;".1"</f>
        <v>....1.1</v>
      </c>
      <c r="L49" s="1534" t="s">
        <v>412</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451</v>
      </c>
      <c r="AN49" s="681">
        <f>STRCHECKDATE(V50:AL50)</f>
      </c>
      <c r="AO49" s="670"/>
      <c r="AP49" s="670" t="str">
        <f>IF(T49="","",T49)</f>
        <v/>
      </c>
      <c r="AQ49" s="670"/>
      <c r="AR49" s="670"/>
      <c r="AS49" s="1325">
        <v>21</v>
      </c>
    </row>
    <row customHeight="1" ht="1.05">
      <c r="A50" s="1533" t="s">
        <v>167</v>
      </c>
      <c r="B50" s="1533" t="s">
        <v>168</v>
      </c>
      <c r="C50" s="1533" t="s">
        <v>169</v>
      </c>
      <c r="D50" s="1533" t="s">
        <v>170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167</v>
      </c>
      <c r="B51" s="1533" t="s">
        <v>168</v>
      </c>
      <c r="C51" s="1533" t="s">
        <v>169</v>
      </c>
      <c r="D51" s="1533" t="s">
        <v>170</v>
      </c>
      <c r="E51" s="2429"/>
      <c r="F51" s="2429"/>
      <c r="G51" s="2429"/>
      <c r="H51" s="2429"/>
      <c r="I51" s="2456"/>
      <c r="J51" s="2426"/>
      <c r="K51" s="1533"/>
      <c r="L51" s="1534"/>
      <c r="P51" s="2427"/>
      <c r="Q51" s="2427"/>
      <c r="R51" s="526"/>
      <c r="S51" s="1448"/>
      <c r="T51" s="457"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167</v>
      </c>
      <c r="B52" s="1533" t="s">
        <v>168</v>
      </c>
      <c r="C52" s="1533" t="s">
        <v>169</v>
      </c>
      <c r="D52" s="1533" t="s">
        <v>170</v>
      </c>
      <c r="E52" s="2429"/>
      <c r="F52" s="2429"/>
      <c r="G52" s="2429"/>
      <c r="H52" s="2429"/>
      <c r="I52" s="2426"/>
      <c r="J52" s="1533"/>
      <c r="K52" s="1533"/>
      <c r="L52" s="1534"/>
      <c r="P52" s="2427"/>
      <c r="Q52" s="1501"/>
      <c r="R52" s="526"/>
      <c r="S52" s="1448"/>
      <c r="T52" s="535"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167</v>
      </c>
      <c r="B53" s="1533" t="s">
        <v>168</v>
      </c>
      <c r="C53" s="1533" t="s">
        <v>169</v>
      </c>
      <c r="D53" s="1533" t="s">
        <v>170</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667" customFormat="1" customHeight="1" ht="1.05">
      <c r="A54" s="1513" t="s">
        <v>167</v>
      </c>
      <c r="B54" s="1513" t="s">
        <v>168</v>
      </c>
      <c r="C54" s="1513" t="s">
        <v>169</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667" customFormat="1" customHeight="1" ht="1.05">
      <c r="A55" s="1513" t="s">
        <v>167</v>
      </c>
      <c r="B55" s="1513" t="s">
        <v>168</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667" customFormat="1" customHeight="1" ht="1.05">
      <c r="A56" s="1513" t="s">
        <v>167</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66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20948-150C-BF47-B59A-45F045CCFF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7109375" hidden="1"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402</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404</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405</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406</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409</v>
      </c>
      <c r="M7" s="707"/>
      <c r="N7" s="1536"/>
      <c r="P7" s="2427"/>
      <c r="Q7" s="2427">
        <v>1</v>
      </c>
      <c r="R7" s="1812"/>
      <c r="S7" s="2177">
        <f>$J7</f>
      </c>
      <c r="T7" s="456" t="s">
        <v>410</v>
      </c>
      <c r="U7" s="470"/>
      <c r="V7" s="2475"/>
      <c r="W7" s="2475"/>
      <c r="X7" s="2475"/>
      <c r="Y7" s="2475"/>
      <c r="Z7" s="2475"/>
      <c r="AA7" s="2475"/>
      <c r="AB7" s="2475"/>
      <c r="AC7" s="2475"/>
      <c r="AD7" s="2475"/>
      <c r="AE7" s="2475"/>
      <c r="AF7" s="2475"/>
      <c r="AG7" s="2475"/>
      <c r="AH7" s="2475"/>
      <c r="AI7" s="2475"/>
      <c r="AJ7" s="2475"/>
      <c r="AK7" s="2475"/>
      <c r="AL7" s="2475"/>
      <c r="AM7" s="2180" t="s">
        <v>411</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412</v>
      </c>
      <c r="M8" s="707"/>
      <c r="N8" s="1536"/>
      <c r="O8" s="1536"/>
      <c r="P8" s="2427"/>
      <c r="Q8" s="2427"/>
      <c r="R8" s="527">
        <v>1</v>
      </c>
      <c r="S8" s="2179">
        <f>$K8</f>
      </c>
      <c r="T8" s="2184"/>
      <c r="U8" s="2185"/>
      <c r="V8" s="2186"/>
      <c r="W8" s="1519"/>
      <c r="X8" s="2186"/>
      <c r="Y8" s="2187"/>
      <c r="Z8" s="2476"/>
      <c r="AA8" s="2282" t="s">
        <v>65</v>
      </c>
      <c r="AB8" s="2476"/>
      <c r="AC8" s="2282" t="s">
        <v>65</v>
      </c>
      <c r="AD8" s="2186"/>
      <c r="AE8" s="1519"/>
      <c r="AF8" s="2186"/>
      <c r="AG8" s="2187"/>
      <c r="AH8" s="2476"/>
      <c r="AI8" s="2282" t="s">
        <v>65</v>
      </c>
      <c r="AJ8" s="2476"/>
      <c r="AK8" s="2282" t="s">
        <v>65</v>
      </c>
      <c r="AL8" s="1519"/>
      <c r="AM8" s="2423" t="s">
        <v>413</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66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14.2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18.7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325">
        <v>14</v>
      </c>
    </row>
    <row customHeight="1" ht="35.699999999999996">
      <c r="Q40" s="546"/>
      <c r="R40" s="546"/>
      <c r="S40" s="2443"/>
      <c r="T40" s="2379"/>
      <c r="U40" s="1201"/>
      <c r="V40" s="2430" t="s">
        <v>434</v>
      </c>
      <c r="W40" s="2453"/>
      <c r="X40" s="2432" t="s">
        <v>436</v>
      </c>
      <c r="Y40" s="2433"/>
      <c r="Z40" s="2432" t="s">
        <v>437</v>
      </c>
      <c r="AA40" s="2439"/>
      <c r="AB40" s="2433"/>
      <c r="AC40" s="2448"/>
      <c r="AD40" s="2430" t="s">
        <v>450</v>
      </c>
      <c r="AE40" s="2453"/>
      <c r="AF40" s="2432" t="s">
        <v>436</v>
      </c>
      <c r="AG40" s="2433"/>
      <c r="AH40" s="2432" t="s">
        <v>437</v>
      </c>
      <c r="AI40" s="2439"/>
      <c r="AJ40" s="2433"/>
      <c r="AK40" s="2448"/>
      <c r="AL40" s="2451"/>
      <c r="AM40" s="2297"/>
      <c r="AS40" s="1325">
        <v>34</v>
      </c>
    </row>
    <row customHeight="1" ht="35.699999999999996">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Q41" s="546"/>
      <c r="R41" s="546"/>
      <c r="S41" s="2443"/>
      <c r="T41" s="2379"/>
      <c r="U41" s="472"/>
      <c r="V41" s="2431"/>
      <c r="W41" s="2454"/>
      <c r="X41" s="1392" t="s">
        <v>445</v>
      </c>
      <c r="Y41" s="1392" t="s">
        <v>446</v>
      </c>
      <c r="Z41" s="1508" t="s">
        <v>447</v>
      </c>
      <c r="AA41" s="2440" t="s">
        <v>448</v>
      </c>
      <c r="AB41" s="2441"/>
      <c r="AC41" s="2449"/>
      <c r="AD41" s="2431"/>
      <c r="AE41" s="2454"/>
      <c r="AF41" s="1392" t="s">
        <v>445</v>
      </c>
      <c r="AG41" s="1392" t="s">
        <v>446</v>
      </c>
      <c r="AH41" s="1508" t="s">
        <v>447</v>
      </c>
      <c r="AI41" s="2440" t="s">
        <v>448</v>
      </c>
      <c r="AJ41" s="2441"/>
      <c r="AK41" s="2449"/>
      <c r="AL41" s="2452"/>
      <c r="AM41" s="2297"/>
      <c r="AS41" s="1325">
        <v>34</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179</v>
      </c>
      <c r="B44" s="1533" t="s">
        <v>180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21</v>
      </c>
    </row>
    <row customHeight="1" ht="24">
      <c r="A45" s="1533" t="s">
        <v>179</v>
      </c>
      <c r="B45" s="1533" t="s">
        <v>180</v>
      </c>
      <c r="C45" s="1533" t="s">
        <v>181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2.049999999999997">
      <c r="A46" s="1533" t="s">
        <v>179</v>
      </c>
      <c r="B46" s="1533" t="s">
        <v>180</v>
      </c>
      <c r="C46" s="1533" t="s">
        <v>181</v>
      </c>
      <c r="D46" s="1533" t="s">
        <v>182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21</v>
      </c>
    </row>
    <row s="9667" customFormat="1" customHeight="1" ht="0">
      <c r="A47" s="1513" t="s">
        <v>179</v>
      </c>
      <c r="B47" s="1513" t="s">
        <v>180</v>
      </c>
      <c r="C47" s="1513" t="s">
        <v>181</v>
      </c>
      <c r="D47" s="1513" t="s">
        <v>182</v>
      </c>
      <c r="E47" s="2429"/>
      <c r="F47" s="2429"/>
      <c r="G47" s="2429"/>
      <c r="H47" s="2429"/>
      <c r="I47" s="2426" t="str">
        <f>S46&amp;".1"</f>
        <v>....1</v>
      </c>
      <c r="J47" s="1513"/>
      <c r="K47" s="1513"/>
      <c r="L47" s="1516" t="s">
        <v>406</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179</v>
      </c>
      <c r="B48" s="1533" t="s">
        <v>180</v>
      </c>
      <c r="C48" s="1533" t="s">
        <v>181</v>
      </c>
      <c r="D48" s="1533" t="s">
        <v>182</v>
      </c>
      <c r="E48" s="2429"/>
      <c r="F48" s="2429"/>
      <c r="G48" s="2429"/>
      <c r="H48" s="2429"/>
      <c r="I48" s="2456"/>
      <c r="J48" s="2426" t="str">
        <f>S46&amp;".1"</f>
        <v>....1</v>
      </c>
      <c r="K48" s="1533"/>
      <c r="L48" s="1534" t="s">
        <v>409</v>
      </c>
      <c r="P48" s="2427"/>
      <c r="Q48" s="2427">
        <v>1</v>
      </c>
      <c r="R48" s="527"/>
      <c r="S48" s="1506" t="str">
        <f>$J48</f>
        <v>....1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21</v>
      </c>
    </row>
    <row customHeight="1" ht="22.049999999999997">
      <c r="A49" s="1533" t="s">
        <v>179</v>
      </c>
      <c r="B49" s="1533" t="s">
        <v>180</v>
      </c>
      <c r="C49" s="1533" t="s">
        <v>181</v>
      </c>
      <c r="D49" s="1533" t="s">
        <v>182</v>
      </c>
      <c r="E49" s="2429"/>
      <c r="F49" s="2429"/>
      <c r="G49" s="2429"/>
      <c r="H49" s="2429"/>
      <c r="I49" s="2456"/>
      <c r="J49" s="2456"/>
      <c r="K49" s="2426" t="str">
        <f>J48&amp;".1"</f>
        <v>....1.1</v>
      </c>
      <c r="L49" s="1534" t="s">
        <v>412</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451</v>
      </c>
      <c r="AN49" s="681">
        <f>STRCHECKDATE(V50:AL50)</f>
      </c>
      <c r="AO49" s="670"/>
      <c r="AP49" s="670" t="str">
        <f>IF(T49="","",T49)</f>
        <v/>
      </c>
      <c r="AQ49" s="670"/>
      <c r="AR49" s="670"/>
      <c r="AS49" s="1325">
        <v>21</v>
      </c>
    </row>
    <row customHeight="1" ht="1.05">
      <c r="A50" s="1533" t="s">
        <v>179</v>
      </c>
      <c r="B50" s="1533" t="s">
        <v>180</v>
      </c>
      <c r="C50" s="1533" t="s">
        <v>181</v>
      </c>
      <c r="D50" s="1533" t="s">
        <v>182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179</v>
      </c>
      <c r="B51" s="1533" t="s">
        <v>180</v>
      </c>
      <c r="C51" s="1533" t="s">
        <v>181</v>
      </c>
      <c r="D51" s="1533" t="s">
        <v>182</v>
      </c>
      <c r="E51" s="2429"/>
      <c r="F51" s="2429"/>
      <c r="G51" s="2429"/>
      <c r="H51" s="2429"/>
      <c r="I51" s="2456"/>
      <c r="J51" s="2426"/>
      <c r="K51" s="1533"/>
      <c r="L51" s="1534"/>
      <c r="P51" s="2427"/>
      <c r="Q51" s="2427"/>
      <c r="R51" s="526"/>
      <c r="S51" s="1448"/>
      <c r="T51" s="457"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179</v>
      </c>
      <c r="B52" s="1533" t="s">
        <v>180</v>
      </c>
      <c r="C52" s="1533" t="s">
        <v>181</v>
      </c>
      <c r="D52" s="1533" t="s">
        <v>182</v>
      </c>
      <c r="E52" s="2429"/>
      <c r="F52" s="2429"/>
      <c r="G52" s="2429"/>
      <c r="H52" s="2429"/>
      <c r="I52" s="2426"/>
      <c r="J52" s="1533"/>
      <c r="K52" s="1533"/>
      <c r="L52" s="1534"/>
      <c r="P52" s="2427"/>
      <c r="Q52" s="1501"/>
      <c r="R52" s="526"/>
      <c r="S52" s="1448"/>
      <c r="T52" s="535"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179</v>
      </c>
      <c r="B53" s="1533" t="s">
        <v>180</v>
      </c>
      <c r="C53" s="1533" t="s">
        <v>181</v>
      </c>
      <c r="D53" s="1533" t="s">
        <v>182</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667" customFormat="1" customHeight="1" ht="1.05">
      <c r="A54" s="1513" t="s">
        <v>179</v>
      </c>
      <c r="B54" s="1513" t="s">
        <v>180</v>
      </c>
      <c r="C54" s="1513" t="s">
        <v>181</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667" customFormat="1" customHeight="1" ht="1.05">
      <c r="A55" s="1513" t="s">
        <v>179</v>
      </c>
      <c r="B55" s="1513" t="s">
        <v>180</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667" customFormat="1" customHeight="1" ht="1.05">
      <c r="A56" s="1513" t="s">
        <v>179</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66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68FC8-0972-04D7-1A14-D0B18B197E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3" width="3.7109375" hidden="1" customWidth="1"/>
    <col min="17" max="18" style="10534" width="3.00390625" customWidth="1"/>
    <col min="19" max="19" style="10535" width="12.00390625" customWidth="1"/>
    <col min="20" max="20" style="9589" width="31.00390625" customWidth="1"/>
    <col min="21" max="21" style="9589" width="0.140625" customWidth="1"/>
    <col min="22" max="22" style="9589" width="24.7109375" hidden="1" customWidth="1"/>
    <col min="23" max="23" style="9589" width="0.140625" hidden="1" customWidth="1"/>
    <col min="24" max="25" style="9589" width="24.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24.7109375" customWidth="1"/>
    <col min="31" max="31" style="9589" width="0.140625" customWidth="1"/>
    <col min="32" max="33" style="9589" width="24.00390625" customWidth="1"/>
    <col min="34" max="34" style="9589" width="11.00390625" customWidth="1"/>
    <col min="35" max="35" style="9589" width="3.7109375" customWidth="1"/>
    <col min="36" max="36" style="9589" width="11.00390625" customWidth="1"/>
    <col min="37" max="37" style="9589" width="8.57421875" hidden="1" customWidth="1"/>
    <col min="38" max="38" style="9589" width="4.00390625" customWidth="1"/>
    <col min="39" max="39" style="9589" width="115.00390625" customWidth="1"/>
    <col min="40" max="44" style="9667" width="10.00390625" customWidth="1"/>
    <col min="45" max="45" style="958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122</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399</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400</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401</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402</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403</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404</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405</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406</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409</v>
      </c>
      <c r="M7" s="707"/>
      <c r="N7" s="1536"/>
      <c r="P7" s="2427"/>
      <c r="Q7" s="2427">
        <v>1</v>
      </c>
      <c r="R7" s="527"/>
      <c r="S7" s="1506">
        <f>$J7</f>
      </c>
      <c r="T7" s="456" t="s">
        <v>410</v>
      </c>
      <c r="U7" s="470"/>
      <c r="V7" s="2415"/>
      <c r="W7" s="2416"/>
      <c r="X7" s="2416"/>
      <c r="Y7" s="2416"/>
      <c r="Z7" s="2416"/>
      <c r="AA7" s="2416"/>
      <c r="AB7" s="2416"/>
      <c r="AC7" s="2417"/>
      <c r="AD7" s="2415"/>
      <c r="AE7" s="2416"/>
      <c r="AF7" s="2416"/>
      <c r="AG7" s="2416"/>
      <c r="AH7" s="2416"/>
      <c r="AI7" s="2416"/>
      <c r="AJ7" s="2416"/>
      <c r="AK7" s="2416"/>
      <c r="AL7" s="2417"/>
      <c r="AM7" s="1428" t="s">
        <v>411</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412</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413</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414</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415</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667"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667"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228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667"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229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666" customFormat="1" customHeight="1" ht="22.5" hidden="1">
      <c r="L20" s="1499"/>
      <c r="M20" s="1532"/>
      <c r="N20" s="1532"/>
      <c r="O20" s="1537" t="s">
        <v>418</v>
      </c>
      <c r="P20" s="1532"/>
      <c r="Q20" s="1541"/>
      <c r="R20" s="1541"/>
      <c r="S20" s="899"/>
      <c r="Z20" s="1537"/>
      <c r="AB20" s="1537"/>
      <c r="AC20" s="1536"/>
      <c r="AH20" s="1537"/>
      <c r="AJ20" s="1537"/>
      <c r="AK20" s="1536"/>
      <c r="AN20" s="681"/>
      <c r="AO20" s="681"/>
      <c r="AP20" s="681"/>
      <c r="AQ20" s="681"/>
      <c r="AR20" s="681"/>
      <c r="AS20" s="1330">
        <v>0</v>
      </c>
    </row>
    <row s="9666" customFormat="1" customHeight="1" ht="14.25" hidden="1">
      <c r="L21" s="1499"/>
      <c r="M21" s="1532"/>
      <c r="N21" s="1532"/>
      <c r="O21" s="1532"/>
      <c r="P21" s="1532"/>
      <c r="Q21" s="1541"/>
      <c r="R21" s="1541"/>
      <c r="S21" s="899"/>
      <c r="AC21" s="1536"/>
      <c r="AK21" s="1536"/>
      <c r="AN21" s="681"/>
      <c r="AO21" s="681"/>
      <c r="AP21" s="681"/>
      <c r="AQ21" s="681"/>
      <c r="AR21" s="681"/>
      <c r="AS21" s="1330">
        <v>0</v>
      </c>
    </row>
    <row s="9666" customFormat="1" customHeight="1" ht="14.25" hidden="1">
      <c r="L22" s="1499"/>
      <c r="M22" s="1532"/>
      <c r="N22" s="1532"/>
      <c r="O22" s="1534" t="s">
        <v>419</v>
      </c>
      <c r="P22" s="1532"/>
      <c r="Q22" s="1541"/>
      <c r="R22" s="1541"/>
      <c r="S22" s="899"/>
      <c r="T22" s="1330" t="s">
        <v>420</v>
      </c>
      <c r="AA22" s="356" t="s">
        <v>421</v>
      </c>
      <c r="AC22" s="356" t="s">
        <v>422</v>
      </c>
      <c r="AD22" s="1330" t="s">
        <v>420</v>
      </c>
      <c r="AI22" s="356" t="s">
        <v>423</v>
      </c>
      <c r="AK22" s="356" t="s">
        <v>422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МУП "Водоканал"</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79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424</v>
      </c>
      <c r="T30" s="2420"/>
      <c r="U30" s="1542"/>
      <c r="V30" s="2434" t="str">
        <f>IF(TITLE_DATE_PR_CHANGE="",IF(TITLE_DATE_PR="","",TITLE_DATE_PR),TITLE_DATE_PR_CHANGE)</f>
        <v>45408.40866898148</v>
      </c>
      <c r="W30" s="2434"/>
      <c r="X30" s="2434"/>
      <c r="Y30" s="2434"/>
      <c r="Z30" s="2434"/>
      <c r="AA30" s="2434"/>
      <c r="AB30" s="2434"/>
      <c r="AC30" s="496"/>
      <c r="AD30" s="2434" t="str">
        <f>IF(TITLE_DATE_PR_CHANGE="",IF(TITLE_DATE_PR="","",TITLE_DATE_PR),TITLE_DATE_PR_CHANGE)</f>
        <v>45408.40866898148</v>
      </c>
      <c r="AE30" s="2434"/>
      <c r="AF30" s="2434"/>
      <c r="AG30" s="2434"/>
      <c r="AH30" s="2434"/>
      <c r="AI30" s="2434"/>
      <c r="AJ30" s="2434"/>
      <c r="AK30" s="496"/>
      <c r="AL30" s="496"/>
      <c r="AM30" s="450"/>
      <c r="AN30" s="538"/>
      <c r="AO30" s="538"/>
      <c r="AP30" s="538"/>
      <c r="AQ30" s="538"/>
      <c r="AR30" s="538"/>
      <c r="AS30" s="588">
        <v>0</v>
      </c>
    </row>
    <row s="9793" customFormat="1" customHeight="1" ht="18.75" hidden="1">
      <c r="A31" s="1538"/>
      <c r="B31" s="1538"/>
      <c r="C31" s="1538"/>
      <c r="D31" s="1538"/>
      <c r="E31" s="1538"/>
      <c r="F31" s="1538"/>
      <c r="G31" s="1538"/>
      <c r="H31" s="1538"/>
      <c r="I31" s="1538"/>
      <c r="J31" s="1538"/>
      <c r="K31" s="1538"/>
      <c r="L31" s="1539"/>
      <c r="M31" s="1538"/>
      <c r="N31" s="1538"/>
      <c r="O31" s="1538"/>
      <c r="S31" s="2420" t="s">
        <v>425</v>
      </c>
      <c r="T31" s="2420"/>
      <c r="U31" s="1542"/>
      <c r="V31" s="2421" t="str">
        <f>IF(TITLE_NUMBER_PR_CHANGE="",IF(TITLE_NUMBER_PR="","",TITLE_NUMBER_PR),TITLE_NUMBER_PR_CHANGE)</f>
        <v>1005,1062</v>
      </c>
      <c r="W31" s="2421"/>
      <c r="X31" s="2421"/>
      <c r="Y31" s="2421"/>
      <c r="Z31" s="2421"/>
      <c r="AA31" s="2421"/>
      <c r="AB31" s="2421"/>
      <c r="AC31" s="496"/>
      <c r="AD31" s="2421" t="str">
        <f>IF(TITLE_NUMBER_PR_CHANGE="",IF(TITLE_NUMBER_PR="","",TITLE_NUMBER_PR),TITLE_NUMBER_PR_CHANGE)</f>
        <v>1005,1062</v>
      </c>
      <c r="AE31" s="2421"/>
      <c r="AF31" s="2421"/>
      <c r="AG31" s="2421"/>
      <c r="AH31" s="2421"/>
      <c r="AI31" s="2421"/>
      <c r="AJ31" s="2421"/>
      <c r="AK31" s="496"/>
      <c r="AL31" s="496"/>
      <c r="AM31" s="450"/>
      <c r="AN31" s="538"/>
      <c r="AO31" s="538"/>
      <c r="AP31" s="538"/>
      <c r="AQ31" s="538"/>
      <c r="AR31" s="538"/>
      <c r="AS31" s="588">
        <v>0</v>
      </c>
    </row>
    <row s="979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793" customFormat="1" customHeight="1" ht="18.75">
      <c r="A34" s="1538"/>
      <c r="B34" s="1538"/>
      <c r="C34" s="1538"/>
      <c r="D34" s="1538"/>
      <c r="E34" s="1538"/>
      <c r="F34" s="1538"/>
      <c r="G34" s="1538"/>
      <c r="H34" s="1538"/>
      <c r="I34" s="1538"/>
      <c r="J34" s="1538"/>
      <c r="K34" s="1538"/>
      <c r="L34" s="1539"/>
      <c r="M34" s="1538"/>
      <c r="N34" s="1538"/>
      <c r="O34" s="1538"/>
      <c r="S34" s="2420" t="s">
        <v>426</v>
      </c>
      <c r="T34" s="2420"/>
      <c r="U34" s="1542"/>
      <c r="V34" s="2434" t="str">
        <f>IF(TITLE_DATE_PR_CHANGE="",IF(TITLE_DATE_PR="","",TITLE_DATE_PR),TITLE_DATE_PR_CHANGE)</f>
        <v>45408.40866898148</v>
      </c>
      <c r="W34" s="2434"/>
      <c r="X34" s="2434"/>
      <c r="Y34" s="2434"/>
      <c r="Z34" s="2434"/>
      <c r="AA34" s="2434"/>
      <c r="AB34" s="2434"/>
      <c r="AC34" s="496"/>
      <c r="AD34" s="2434" t="str">
        <f>IF(TITLE_DATE_PR_CHANGE="",IF(TITLE_DATE_PR="","",TITLE_DATE_PR),TITLE_DATE_PR_CHANGE)</f>
        <v>45408.40866898148</v>
      </c>
      <c r="AE34" s="2434"/>
      <c r="AF34" s="2434"/>
      <c r="AG34" s="2434"/>
      <c r="AH34" s="2434"/>
      <c r="AI34" s="2434"/>
      <c r="AJ34" s="2434"/>
      <c r="AK34" s="496"/>
      <c r="AL34" s="496"/>
      <c r="AM34" s="450"/>
      <c r="AN34" s="538"/>
      <c r="AO34" s="538"/>
      <c r="AP34" s="538"/>
      <c r="AQ34" s="538"/>
      <c r="AR34" s="538"/>
      <c r="AS34" s="588">
        <v>0</v>
      </c>
    </row>
    <row s="9793" customFormat="1" customHeight="1" ht="25.5">
      <c r="A35" s="1538"/>
      <c r="B35" s="1538"/>
      <c r="C35" s="1538"/>
      <c r="D35" s="1538"/>
      <c r="E35" s="1538"/>
      <c r="F35" s="1538"/>
      <c r="G35" s="1538"/>
      <c r="H35" s="1538"/>
      <c r="I35" s="1538"/>
      <c r="J35" s="1538"/>
      <c r="K35" s="1538"/>
      <c r="L35" s="1539"/>
      <c r="M35" s="1538"/>
      <c r="N35" s="1538"/>
      <c r="O35" s="1538"/>
      <c r="S35" s="2420" t="s">
        <v>427</v>
      </c>
      <c r="T35" s="2420"/>
      <c r="U35" s="1542"/>
      <c r="V35" s="2421" t="str">
        <f>IF(TITLE_NUMBER_PR_CHANGE="",IF(TITLE_NUMBER_PR="","",TITLE_NUMBER_PR),TITLE_NUMBER_PR_CHANGE)</f>
        <v>1005,1062</v>
      </c>
      <c r="W35" s="2421"/>
      <c r="X35" s="2421"/>
      <c r="Y35" s="2421"/>
      <c r="Z35" s="2421"/>
      <c r="AA35" s="2421"/>
      <c r="AB35" s="2421"/>
      <c r="AC35" s="496"/>
      <c r="AD35" s="2421" t="str">
        <f>IF(TITLE_NUMBER_PR_CHANGE="",IF(TITLE_NUMBER_PR="","",TITLE_NUMBER_PR),TITLE_NUMBER_PR_CHANGE)</f>
        <v>1005,1062</v>
      </c>
      <c r="AE35" s="2421"/>
      <c r="AF35" s="2421"/>
      <c r="AG35" s="2421"/>
      <c r="AH35" s="2421"/>
      <c r="AI35" s="2421"/>
      <c r="AJ35" s="2421"/>
      <c r="AK35" s="496"/>
      <c r="AL35" s="496"/>
      <c r="AM35" s="450"/>
      <c r="AN35" s="538"/>
      <c r="AO35" s="538"/>
      <c r="AP35" s="538"/>
      <c r="AQ35" s="538"/>
      <c r="AR35" s="538"/>
      <c r="AS35" s="588">
        <v>0</v>
      </c>
    </row>
    <row s="979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428</v>
      </c>
      <c r="AD36" s="496"/>
      <c r="AE36" s="496"/>
      <c r="AF36" s="496"/>
      <c r="AG36" s="496"/>
      <c r="AH36" s="496"/>
      <c r="AI36" s="496"/>
      <c r="AJ36" s="496"/>
      <c r="AK36" s="448" t="s">
        <v>428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303</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304</v>
      </c>
      <c r="AS38" s="1325">
        <v>14</v>
      </c>
    </row>
    <row customHeight="1" ht="14.699999999999998">
      <c r="Q39" s="546"/>
      <c r="R39" s="546"/>
      <c r="S39" s="2443" t="s">
        <v>87</v>
      </c>
      <c r="T39" s="2379" t="s">
        <v>429</v>
      </c>
      <c r="U39" s="471"/>
      <c r="V39" s="2444" t="s">
        <v>430</v>
      </c>
      <c r="W39" s="2445"/>
      <c r="X39" s="2445"/>
      <c r="Y39" s="2445"/>
      <c r="Z39" s="2445"/>
      <c r="AA39" s="2445"/>
      <c r="AB39" s="2446"/>
      <c r="AC39" s="2447" t="s">
        <v>431</v>
      </c>
      <c r="AD39" s="2444" t="s">
        <v>430</v>
      </c>
      <c r="AE39" s="2445"/>
      <c r="AF39" s="2445"/>
      <c r="AG39" s="2445"/>
      <c r="AH39" s="2445"/>
      <c r="AI39" s="2445"/>
      <c r="AJ39" s="2446"/>
      <c r="AK39" s="2447" t="s">
        <v>432</v>
      </c>
      <c r="AL39" s="2450" t="s">
        <v>433</v>
      </c>
      <c r="AM39" s="2297"/>
      <c r="AS39" s="1325">
        <v>14</v>
      </c>
    </row>
    <row customHeight="1" ht="35.699999999999996">
      <c r="Q40" s="546"/>
      <c r="R40" s="546"/>
      <c r="S40" s="2443"/>
      <c r="T40" s="2379"/>
      <c r="U40" s="1201"/>
      <c r="V40" s="2430" t="s">
        <v>434</v>
      </c>
      <c r="W40" s="2453"/>
      <c r="X40" s="2432" t="s">
        <v>436</v>
      </c>
      <c r="Y40" s="2433"/>
      <c r="Z40" s="2432" t="s">
        <v>437</v>
      </c>
      <c r="AA40" s="2439"/>
      <c r="AB40" s="2433"/>
      <c r="AC40" s="2448"/>
      <c r="AD40" s="2430" t="s">
        <v>450</v>
      </c>
      <c r="AE40" s="2453"/>
      <c r="AF40" s="2432" t="s">
        <v>436</v>
      </c>
      <c r="AG40" s="2433"/>
      <c r="AH40" s="2432" t="s">
        <v>437</v>
      </c>
      <c r="AI40" s="2439"/>
      <c r="AJ40" s="2433"/>
      <c r="AK40" s="2448"/>
      <c r="AL40" s="2451"/>
      <c r="AM40" s="2297"/>
      <c r="AS40" s="1325">
        <v>34</v>
      </c>
    </row>
    <row customHeight="1" ht="35.699999999999996">
      <c r="A41" s="1540"/>
      <c r="B41" s="1540" t="s">
        <v>134</v>
      </c>
      <c r="C41" s="1540" t="s">
        <v>135</v>
      </c>
      <c r="D41" s="1540" t="s">
        <v>136</v>
      </c>
      <c r="E41" s="1534" t="s">
        <v>438</v>
      </c>
      <c r="F41" s="1534" t="s">
        <v>439</v>
      </c>
      <c r="G41" s="1534" t="s">
        <v>440</v>
      </c>
      <c r="H41" s="1534" t="s">
        <v>441</v>
      </c>
      <c r="I41" s="1534" t="s">
        <v>442</v>
      </c>
      <c r="J41" s="1534" t="s">
        <v>443</v>
      </c>
      <c r="K41" s="1534" t="s">
        <v>444</v>
      </c>
      <c r="L41" s="1534" t="s">
        <v>419</v>
      </c>
      <c r="Q41" s="546"/>
      <c r="R41" s="546"/>
      <c r="S41" s="2443"/>
      <c r="T41" s="2379"/>
      <c r="U41" s="472"/>
      <c r="V41" s="2431"/>
      <c r="W41" s="2454"/>
      <c r="X41" s="1392" t="s">
        <v>445</v>
      </c>
      <c r="Y41" s="1392" t="s">
        <v>446</v>
      </c>
      <c r="Z41" s="1508" t="s">
        <v>447</v>
      </c>
      <c r="AA41" s="2440" t="s">
        <v>448</v>
      </c>
      <c r="AB41" s="2441"/>
      <c r="AC41" s="2449"/>
      <c r="AD41" s="2431"/>
      <c r="AE41" s="2454"/>
      <c r="AF41" s="1392" t="s">
        <v>445</v>
      </c>
      <c r="AG41" s="1392" t="s">
        <v>446</v>
      </c>
      <c r="AH41" s="1508" t="s">
        <v>447</v>
      </c>
      <c r="AI41" s="2440" t="s">
        <v>448</v>
      </c>
      <c r="AJ41" s="2441"/>
      <c r="AK41" s="2449"/>
      <c r="AL41" s="2452"/>
      <c r="AM41" s="2297"/>
      <c r="AS41" s="1325">
        <v>34</v>
      </c>
    </row>
    <row s="1028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185</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122</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185</v>
      </c>
      <c r="B44" s="1533" t="s">
        <v>186</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400</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401</v>
      </c>
      <c r="AO44" s="670"/>
      <c r="AP44" s="670" t="str">
        <f>IF(T44="","",T44)</f>
        <v>Территория действия тарифа</v>
      </c>
      <c r="AQ44" s="670"/>
      <c r="AR44" s="670"/>
      <c r="AS44" s="1325">
        <v>21</v>
      </c>
    </row>
    <row customHeight="1" ht="24">
      <c r="A45" s="1533" t="s">
        <v>185</v>
      </c>
      <c r="B45" s="1533" t="s">
        <v>186</v>
      </c>
      <c r="C45" s="1533" t="s">
        <v>187</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402</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403</v>
      </c>
      <c r="AO45" s="670"/>
      <c r="AP45" s="670" t="str">
        <f>IF(T45="","",T45)</f>
        <v>Наименование системы теплоснабжения </v>
      </c>
      <c r="AQ45" s="670"/>
      <c r="AR45" s="670"/>
      <c r="AS45" s="1325">
        <v>23</v>
      </c>
    </row>
    <row customHeight="1" ht="22.049999999999997">
      <c r="A46" s="1533" t="s">
        <v>185</v>
      </c>
      <c r="B46" s="1533" t="s">
        <v>186</v>
      </c>
      <c r="C46" s="1533" t="s">
        <v>187</v>
      </c>
      <c r="D46" s="1533" t="s">
        <v>188</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404</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405</v>
      </c>
      <c r="AO46" s="670"/>
      <c r="AP46" s="670" t="str">
        <f>IF(T46="","",T46)</f>
        <v>Источник тепловой энергии  </v>
      </c>
      <c r="AQ46" s="670"/>
      <c r="AR46" s="670"/>
      <c r="AS46" s="1325">
        <v>21</v>
      </c>
    </row>
    <row s="9667" customFormat="1" customHeight="1" ht="0">
      <c r="A47" s="1513" t="s">
        <v>185</v>
      </c>
      <c r="B47" s="1513" t="s">
        <v>186</v>
      </c>
      <c r="C47" s="1513" t="s">
        <v>187</v>
      </c>
      <c r="D47" s="1513" t="s">
        <v>188</v>
      </c>
      <c r="E47" s="2429"/>
      <c r="F47" s="2429"/>
      <c r="G47" s="2429"/>
      <c r="H47" s="2429"/>
      <c r="I47" s="2426" t="str">
        <f>S46&amp;".1"</f>
        <v>....1</v>
      </c>
      <c r="J47" s="1513"/>
      <c r="K47" s="1513"/>
      <c r="L47" s="1516" t="s">
        <v>406</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185</v>
      </c>
      <c r="B48" s="1533" t="s">
        <v>186</v>
      </c>
      <c r="C48" s="1533" t="s">
        <v>187</v>
      </c>
      <c r="D48" s="1533" t="s">
        <v>188</v>
      </c>
      <c r="E48" s="2429"/>
      <c r="F48" s="2429"/>
      <c r="G48" s="2429"/>
      <c r="H48" s="2429"/>
      <c r="I48" s="2456"/>
      <c r="J48" s="2426" t="str">
        <f>S46&amp;".1"</f>
        <v>....1</v>
      </c>
      <c r="K48" s="1533"/>
      <c r="L48" s="1534" t="s">
        <v>409</v>
      </c>
      <c r="P48" s="2427"/>
      <c r="Q48" s="2427">
        <v>1</v>
      </c>
      <c r="R48" s="527"/>
      <c r="S48" s="1506" t="str">
        <f>$J48</f>
        <v>....1</v>
      </c>
      <c r="T48" s="456" t="s">
        <v>410</v>
      </c>
      <c r="U48" s="470"/>
      <c r="V48" s="2415"/>
      <c r="W48" s="2416"/>
      <c r="X48" s="2416"/>
      <c r="Y48" s="2416"/>
      <c r="Z48" s="2416"/>
      <c r="AA48" s="2416"/>
      <c r="AB48" s="2416"/>
      <c r="AC48" s="2417"/>
      <c r="AD48" s="2415"/>
      <c r="AE48" s="2416"/>
      <c r="AF48" s="2416"/>
      <c r="AG48" s="2416"/>
      <c r="AH48" s="2416"/>
      <c r="AI48" s="2416"/>
      <c r="AJ48" s="2416"/>
      <c r="AK48" s="2416"/>
      <c r="AL48" s="2417"/>
      <c r="AM48" s="1428" t="s">
        <v>411</v>
      </c>
      <c r="AO48" s="670"/>
      <c r="AP48" s="670" t="str">
        <f>IF(T48="","",T48)</f>
        <v>Группа потребителей</v>
      </c>
      <c r="AQ48" s="670"/>
      <c r="AR48" s="670"/>
      <c r="AS48" s="1325">
        <v>21</v>
      </c>
    </row>
    <row customHeight="1" ht="22.049999999999997">
      <c r="A49" s="1533" t="s">
        <v>185</v>
      </c>
      <c r="B49" s="1533" t="s">
        <v>186</v>
      </c>
      <c r="C49" s="1533" t="s">
        <v>187</v>
      </c>
      <c r="D49" s="1533" t="s">
        <v>188</v>
      </c>
      <c r="E49" s="2429"/>
      <c r="F49" s="2429"/>
      <c r="G49" s="2429"/>
      <c r="H49" s="2429"/>
      <c r="I49" s="2456"/>
      <c r="J49" s="2456"/>
      <c r="K49" s="2426" t="str">
        <f>J48&amp;".1"</f>
        <v>....1.1</v>
      </c>
      <c r="L49" s="1534" t="s">
        <v>412</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451</v>
      </c>
      <c r="AN49" s="681">
        <f>STRCHECKDATE(V50:AL50)</f>
      </c>
      <c r="AO49" s="670"/>
      <c r="AP49" s="670" t="str">
        <f>IF(T49="","",T49)</f>
        <v/>
      </c>
      <c r="AQ49" s="670"/>
      <c r="AR49" s="670"/>
      <c r="AS49" s="1325">
        <v>21</v>
      </c>
    </row>
    <row customHeight="1" ht="0">
      <c r="A50" s="1533" t="s">
        <v>185</v>
      </c>
      <c r="B50" s="1533" t="s">
        <v>186</v>
      </c>
      <c r="C50" s="1533" t="s">
        <v>187</v>
      </c>
      <c r="D50" s="1533" t="s">
        <v>188</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185</v>
      </c>
      <c r="B51" s="1533" t="s">
        <v>186</v>
      </c>
      <c r="C51" s="1533" t="s">
        <v>187</v>
      </c>
      <c r="D51" s="1533" t="s">
        <v>188</v>
      </c>
      <c r="E51" s="2429"/>
      <c r="F51" s="2429"/>
      <c r="G51" s="2429"/>
      <c r="H51" s="2429"/>
      <c r="I51" s="2456"/>
      <c r="J51" s="2426"/>
      <c r="K51" s="1533"/>
      <c r="L51" s="1534"/>
      <c r="P51" s="2427"/>
      <c r="Q51" s="2427"/>
      <c r="R51" s="526"/>
      <c r="S51" s="1448"/>
      <c r="T51" s="457" t="s">
        <v>414</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185</v>
      </c>
      <c r="B52" s="1533" t="s">
        <v>186</v>
      </c>
      <c r="C52" s="1533" t="s">
        <v>187</v>
      </c>
      <c r="D52" s="1533" t="s">
        <v>188</v>
      </c>
      <c r="E52" s="2429"/>
      <c r="F52" s="2429"/>
      <c r="G52" s="2429"/>
      <c r="H52" s="2429"/>
      <c r="I52" s="2426"/>
      <c r="J52" s="1533"/>
      <c r="K52" s="1533"/>
      <c r="L52" s="1534"/>
      <c r="P52" s="2427"/>
      <c r="Q52" s="1501"/>
      <c r="R52" s="526"/>
      <c r="S52" s="1448"/>
      <c r="T52" s="535" t="s">
        <v>415</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185</v>
      </c>
      <c r="B53" s="1533" t="s">
        <v>186</v>
      </c>
      <c r="C53" s="1533" t="s">
        <v>187</v>
      </c>
      <c r="D53" s="1533" t="s">
        <v>188</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667" customFormat="1" customHeight="1" ht="0">
      <c r="A54" s="1513" t="s">
        <v>185</v>
      </c>
      <c r="B54" s="1513" t="s">
        <v>186</v>
      </c>
      <c r="C54" s="1513" t="s">
        <v>187</v>
      </c>
      <c r="D54" s="1484"/>
      <c r="E54" s="2429"/>
      <c r="F54" s="2429"/>
      <c r="G54" s="2428"/>
      <c r="H54" s="1484"/>
      <c r="I54" s="1484"/>
      <c r="J54" s="1484"/>
      <c r="K54" s="1484"/>
      <c r="L54" s="1509"/>
      <c r="M54" s="1485"/>
      <c r="N54" s="1485"/>
      <c r="P54" s="1486"/>
      <c r="Q54" s="1487"/>
      <c r="R54" s="1486"/>
      <c r="S54" s="1492"/>
      <c r="T54" s="1495" t="s">
        <v>417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9667" customFormat="1" customHeight="1" ht="0">
      <c r="A55" s="1513" t="s">
        <v>185</v>
      </c>
      <c r="B55" s="1513" t="s">
        <v>186</v>
      </c>
      <c r="C55" s="1484"/>
      <c r="D55" s="1484"/>
      <c r="E55" s="2429"/>
      <c r="F55" s="2428"/>
      <c r="G55" s="1484"/>
      <c r="H55" s="1484"/>
      <c r="I55" s="1484"/>
      <c r="J55" s="1484"/>
      <c r="K55" s="1484"/>
      <c r="L55" s="1509"/>
      <c r="M55" s="1491"/>
      <c r="N55" s="1491"/>
      <c r="P55" s="1486"/>
      <c r="Q55" s="1487"/>
      <c r="R55" s="1486"/>
      <c r="S55" s="1492"/>
      <c r="T55" s="1495" t="s">
        <v>228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9667" customFormat="1" customHeight="1" ht="0">
      <c r="A56" s="1513" t="s">
        <v>185</v>
      </c>
      <c r="B56" s="1513"/>
      <c r="C56" s="1513"/>
      <c r="D56" s="1513"/>
      <c r="E56" s="2428"/>
      <c r="F56" s="1513"/>
      <c r="G56" s="1513"/>
      <c r="H56" s="1513"/>
      <c r="I56" s="1513"/>
      <c r="J56" s="1513"/>
      <c r="K56" s="1513"/>
      <c r="L56" s="1516"/>
      <c r="M56" s="1491"/>
      <c r="N56" s="1491"/>
      <c r="O56" s="688"/>
      <c r="P56" s="550"/>
      <c r="Q56" s="1514"/>
      <c r="R56" s="550"/>
      <c r="S56" s="1492"/>
      <c r="T56" s="1495" t="s">
        <v>229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9667"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230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248B4-8FDF-7C15-0C62-8898D40127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9589" width="10.57421875" hidden="1"/>
    <col min="2" max="2" style="9589" width="11.00390625" hidden="1" customWidth="1"/>
    <col min="3" max="3" style="9589" width="10.57421875" hidden="1"/>
    <col min="4" max="4" style="9589" width="11.8515625" hidden="1" customWidth="1"/>
    <col min="5" max="5" style="9589" width="10.00390625" hidden="1" customWidth="1"/>
    <col min="6" max="6" style="9589" width="8.7109375" hidden="1" customWidth="1"/>
    <col min="7" max="7" style="9589" width="7.57421875" hidden="1" customWidth="1"/>
    <col min="8" max="8" style="9589" width="11.421875" hidden="1" customWidth="1"/>
    <col min="9" max="9" style="9589" width="12.00390625" hidden="1" customWidth="1"/>
    <col min="10" max="10" style="9589" width="9.8515625" hidden="1" customWidth="1"/>
    <col min="11" max="12" style="9589" width="11.421875" hidden="1" customWidth="1"/>
    <col min="13" max="13" style="9664" width="19.140625" hidden="1" customWidth="1"/>
    <col min="14" max="15" style="10533" width="12.28125" hidden="1" customWidth="1"/>
    <col min="16" max="16" style="10533" width="23.421875" hidden="1" customWidth="1"/>
    <col min="17" max="17" style="10533" width="3.7109375" hidden="1" customWidth="1"/>
    <col min="18" max="20" style="10534" width="3.00390625" customWidth="1"/>
    <col min="21" max="21" style="10535" width="12.00390625" customWidth="1"/>
    <col min="22" max="22" style="9589" width="31.00390625" customWidth="1"/>
    <col min="23" max="23" style="9589" width="0.140625" customWidth="1"/>
    <col min="24" max="28" style="9589" width="21.7109375" hidden="1" customWidth="1"/>
    <col min="29" max="29" style="9589" width="11.7109375" hidden="1" customWidth="1"/>
    <col min="30" max="30" style="9589" width="3.7109375" hidden="1" customWidth="1"/>
    <col min="31" max="31" style="9589" width="11.7109375" hidden="1" customWidth="1"/>
    <col min="32" max="32" style="9589" width="8.57421875" hidden="1" customWidth="1"/>
    <col min="33" max="33" style="9589" width="21.7109375" customWidth="1"/>
    <col min="34" max="37" style="9589" width="21.00390625" customWidth="1"/>
    <col min="38" max="38" style="9589" width="11.00390625" customWidth="1"/>
    <col min="39" max="39" style="9589" width="3.7109375" customWidth="1"/>
    <col min="40" max="40" style="9589" width="11.00390625" customWidth="1"/>
    <col min="41" max="41" style="9589" width="8.57421875" hidden="1" customWidth="1"/>
    <col min="42" max="42" style="9589" width="4.00390625" customWidth="1"/>
    <col min="43" max="43" style="9589" width="115.00390625" customWidth="1"/>
    <col min="44" max="48" style="9667" width="10.00390625" customWidth="1"/>
    <col min="49" max="49" style="9589"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122</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399</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400</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401</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402</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403</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404</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405</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406</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409</v>
      </c>
      <c r="N7" s="679"/>
      <c r="O7" s="497"/>
      <c r="Q7" s="2427"/>
      <c r="R7" s="2427">
        <v>1</v>
      </c>
      <c r="S7" s="688"/>
      <c r="T7" s="527"/>
      <c r="U7" s="1506">
        <f>$J7</f>
      </c>
      <c r="V7" s="456" t="s">
        <v>410</v>
      </c>
      <c r="W7" s="470"/>
      <c r="X7" s="2415"/>
      <c r="Y7" s="2416"/>
      <c r="Z7" s="2416"/>
      <c r="AA7" s="2416"/>
      <c r="AB7" s="2416"/>
      <c r="AC7" s="2405"/>
      <c r="AD7" s="2405"/>
      <c r="AE7" s="2405"/>
      <c r="AF7" s="2478"/>
      <c r="AG7" s="2415"/>
      <c r="AH7" s="2416"/>
      <c r="AI7" s="2416"/>
      <c r="AJ7" s="2416"/>
      <c r="AK7" s="2416"/>
      <c r="AL7" s="2416"/>
      <c r="AM7" s="2416"/>
      <c r="AN7" s="2416"/>
      <c r="AO7" s="2416"/>
      <c r="AP7" s="2417"/>
      <c r="AQ7" s="1428" t="s">
        <v>411</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412</v>
      </c>
      <c r="N8" s="679"/>
      <c r="O8" s="497"/>
      <c r="P8" s="497"/>
      <c r="Q8" s="2427"/>
      <c r="R8" s="2427"/>
      <c r="S8" s="2427">
        <v>1</v>
      </c>
      <c r="T8" s="527"/>
      <c r="U8" s="1506">
        <f>$K8</f>
      </c>
      <c r="V8" s="1517"/>
      <c r="W8" s="470"/>
      <c r="X8" s="921"/>
      <c r="Y8" s="921"/>
      <c r="Z8" s="921"/>
      <c r="AA8" s="921"/>
      <c r="AB8" s="1575"/>
      <c r="AC8" s="2435"/>
      <c r="AD8" s="2277" t="s">
        <v>65</v>
      </c>
      <c r="AE8" s="2435"/>
      <c r="AF8" s="2277" t="s">
        <v>65</v>
      </c>
      <c r="AG8" s="1577"/>
      <c r="AH8" s="921"/>
      <c r="AI8" s="921"/>
      <c r="AJ8" s="921"/>
      <c r="AK8" s="1427"/>
      <c r="AL8" s="2435"/>
      <c r="AM8" s="2277" t="s">
        <v>65</v>
      </c>
      <c r="AN8" s="2435"/>
      <c r="AO8" s="2277" t="s">
        <v>65</v>
      </c>
      <c r="AP8" s="495"/>
      <c r="AQ8" s="1477" t="s">
        <v>452</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453</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454</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414</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415</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9667"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417</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9667"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228</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9667"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229</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65</v>
      </c>
      <c r="AN19" s="2437"/>
      <c r="AO19" s="2438" t="s">
        <v>65</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9666" customFormat="1" customHeight="1" ht="22.5" hidden="1">
      <c r="A24" s="1325"/>
      <c r="B24" s="1325"/>
      <c r="C24" s="1325"/>
      <c r="D24" s="1325"/>
      <c r="E24" s="1325"/>
      <c r="F24" s="1325"/>
      <c r="G24" s="1325"/>
      <c r="H24" s="1325"/>
      <c r="I24" s="1325"/>
      <c r="J24" s="1325"/>
      <c r="K24" s="1325"/>
      <c r="L24" s="1325"/>
      <c r="M24" s="1497"/>
      <c r="N24" s="1498"/>
      <c r="O24" s="1498"/>
      <c r="P24" s="1515" t="s">
        <v>418</v>
      </c>
      <c r="Q24" s="1532"/>
      <c r="R24" s="1541"/>
      <c r="S24" s="1541"/>
      <c r="T24" s="1541"/>
      <c r="U24" s="899"/>
      <c r="AC24" s="1537"/>
      <c r="AE24" s="1537"/>
      <c r="AF24" s="1536"/>
      <c r="AL24" s="1537"/>
      <c r="AN24" s="1537"/>
      <c r="AO24" s="1536"/>
      <c r="AR24" s="681"/>
      <c r="AS24" s="681"/>
      <c r="AT24" s="681"/>
      <c r="AU24" s="681"/>
      <c r="AV24" s="681"/>
      <c r="AW24" s="1330">
        <v>0</v>
      </c>
    </row>
    <row s="9666"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9666" customFormat="1" customHeight="1" ht="14.25" hidden="1">
      <c r="A26" s="1325"/>
      <c r="B26" s="1325"/>
      <c r="C26" s="1325"/>
      <c r="D26" s="1325"/>
      <c r="E26" s="1325"/>
      <c r="F26" s="1325"/>
      <c r="G26" s="1325"/>
      <c r="H26" s="1325"/>
      <c r="I26" s="1325"/>
      <c r="J26" s="1325"/>
      <c r="K26" s="1325"/>
      <c r="L26" s="1325"/>
      <c r="M26" s="1497"/>
      <c r="N26" s="1498"/>
      <c r="O26" s="1498"/>
      <c r="P26" s="1480" t="s">
        <v>419</v>
      </c>
      <c r="Q26" s="1532"/>
      <c r="R26" s="1541"/>
      <c r="S26" s="1541"/>
      <c r="T26" s="1541"/>
      <c r="U26" s="899"/>
      <c r="V26" s="1330" t="s">
        <v>420</v>
      </c>
      <c r="AD26" s="356" t="s">
        <v>421</v>
      </c>
      <c r="AF26" s="356" t="s">
        <v>422</v>
      </c>
      <c r="AG26" s="1330" t="s">
        <v>420</v>
      </c>
      <c r="AM26" s="356" t="s">
        <v>423</v>
      </c>
      <c r="AO26" s="356" t="s">
        <v>422</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МУП "Водоканал"</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9793"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9793" customFormat="1" customHeight="1" ht="18.75" hidden="1">
      <c r="A34" s="1418"/>
      <c r="B34" s="1418"/>
      <c r="C34" s="1418"/>
      <c r="D34" s="1418"/>
      <c r="E34" s="1418"/>
      <c r="F34" s="1418"/>
      <c r="G34" s="1418"/>
      <c r="H34" s="1418"/>
      <c r="I34" s="1418"/>
      <c r="J34" s="1418"/>
      <c r="K34" s="1418"/>
      <c r="L34" s="1418"/>
      <c r="M34" s="1550"/>
      <c r="N34" s="1418"/>
      <c r="O34" s="1418"/>
      <c r="P34" s="1418"/>
      <c r="U34" s="2420" t="s">
        <v>424</v>
      </c>
      <c r="V34" s="2420"/>
      <c r="W34" s="1542"/>
      <c r="X34" s="2434" t="str">
        <f>IF(TITLE_DATE_PR_CHANGE="",IF(TITLE_DATE_PR="","",TITLE_DATE_PR),TITLE_DATE_PR_CHANGE)</f>
        <v>45408.40866898148</v>
      </c>
      <c r="Y34" s="2434"/>
      <c r="Z34" s="2434"/>
      <c r="AA34" s="2434"/>
      <c r="AB34" s="2434"/>
      <c r="AC34" s="2434"/>
      <c r="AD34" s="2434"/>
      <c r="AE34" s="2434"/>
      <c r="AF34" s="496"/>
      <c r="AG34" s="2434" t="str">
        <f>IF(TITLE_DATE_PR_CHANGE="",IF(TITLE_DATE_PR="","",TITLE_DATE_PR),TITLE_DATE_PR_CHANGE)</f>
        <v>45408.40866898148</v>
      </c>
      <c r="AH34" s="2434"/>
      <c r="AI34" s="2434"/>
      <c r="AJ34" s="2434"/>
      <c r="AK34" s="2434"/>
      <c r="AL34" s="2434"/>
      <c r="AM34" s="2434"/>
      <c r="AN34" s="2434"/>
      <c r="AO34" s="496"/>
      <c r="AP34" s="496"/>
      <c r="AQ34" s="450"/>
      <c r="AR34" s="538"/>
      <c r="AS34" s="538"/>
      <c r="AT34" s="538"/>
      <c r="AU34" s="538"/>
      <c r="AV34" s="538"/>
      <c r="AW34" s="588">
        <v>0</v>
      </c>
    </row>
    <row s="9793" customFormat="1" customHeight="1" ht="18.75" hidden="1">
      <c r="A35" s="1418"/>
      <c r="B35" s="1418"/>
      <c r="C35" s="1418"/>
      <c r="D35" s="1418"/>
      <c r="E35" s="1418"/>
      <c r="F35" s="1418"/>
      <c r="G35" s="1418"/>
      <c r="H35" s="1418"/>
      <c r="I35" s="1418"/>
      <c r="J35" s="1418"/>
      <c r="K35" s="1418"/>
      <c r="L35" s="1418"/>
      <c r="M35" s="1550"/>
      <c r="N35" s="1418"/>
      <c r="O35" s="1418"/>
      <c r="P35" s="1418"/>
      <c r="U35" s="2420" t="s">
        <v>425</v>
      </c>
      <c r="V35" s="2420"/>
      <c r="W35" s="1542"/>
      <c r="X35" s="2421" t="str">
        <f>IF(TITLE_NUMBER_PR_CHANGE="",IF(TITLE_NUMBER_PR="","",TITLE_NUMBER_PR),TITLE_NUMBER_PR_CHANGE)</f>
        <v>1005,1062</v>
      </c>
      <c r="Y35" s="2421"/>
      <c r="Z35" s="2421"/>
      <c r="AA35" s="2421"/>
      <c r="AB35" s="2421"/>
      <c r="AC35" s="2421"/>
      <c r="AD35" s="2421"/>
      <c r="AE35" s="2421"/>
      <c r="AF35" s="496"/>
      <c r="AG35" s="2421" t="str">
        <f>IF(TITLE_NUMBER_PR_CHANGE="",IF(TITLE_NUMBER_PR="","",TITLE_NUMBER_PR),TITLE_NUMBER_PR_CHANGE)</f>
        <v>1005,1062</v>
      </c>
      <c r="AH35" s="2421"/>
      <c r="AI35" s="2421"/>
      <c r="AJ35" s="2421"/>
      <c r="AK35" s="2421"/>
      <c r="AL35" s="2421"/>
      <c r="AM35" s="2421"/>
      <c r="AN35" s="2421"/>
      <c r="AO35" s="496"/>
      <c r="AP35" s="496"/>
      <c r="AQ35" s="450"/>
      <c r="AR35" s="538"/>
      <c r="AS35" s="538"/>
      <c r="AT35" s="538"/>
      <c r="AU35" s="538"/>
      <c r="AV35" s="538"/>
      <c r="AW35" s="588">
        <v>0</v>
      </c>
    </row>
    <row s="9793"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9793" customFormat="1" customHeight="1" ht="18.75">
      <c r="A38" s="1418"/>
      <c r="B38" s="1418"/>
      <c r="C38" s="1418"/>
      <c r="D38" s="1418"/>
      <c r="E38" s="1418"/>
      <c r="F38" s="1418"/>
      <c r="G38" s="1418"/>
      <c r="H38" s="1418"/>
      <c r="I38" s="1418"/>
      <c r="J38" s="1418"/>
      <c r="K38" s="1418"/>
      <c r="L38" s="1418"/>
      <c r="M38" s="1550"/>
      <c r="N38" s="1418"/>
      <c r="O38" s="1418"/>
      <c r="P38" s="1418"/>
      <c r="U38" s="2420" t="s">
        <v>426</v>
      </c>
      <c r="V38" s="2420"/>
      <c r="W38" s="1542"/>
      <c r="X38" s="2434" t="str">
        <f>IF(TITLE_DATE_PR_CHANGE="",IF(TITLE_DATE_PR="","",TITLE_DATE_PR),TITLE_DATE_PR_CHANGE)</f>
        <v>45408.40866898148</v>
      </c>
      <c r="Y38" s="2434"/>
      <c r="Z38" s="2434"/>
      <c r="AA38" s="2434"/>
      <c r="AB38" s="2434"/>
      <c r="AC38" s="2434"/>
      <c r="AD38" s="2434"/>
      <c r="AE38" s="2434"/>
      <c r="AF38" s="496"/>
      <c r="AG38" s="2434" t="str">
        <f>IF(TITLE_DATE_PR_CHANGE="",IF(TITLE_DATE_PR="","",TITLE_DATE_PR),TITLE_DATE_PR_CHANGE)</f>
        <v>45408.40866898148</v>
      </c>
      <c r="AH38" s="2434"/>
      <c r="AI38" s="2434"/>
      <c r="AJ38" s="2434"/>
      <c r="AK38" s="2434"/>
      <c r="AL38" s="2434"/>
      <c r="AM38" s="2434"/>
      <c r="AN38" s="2434"/>
      <c r="AO38" s="496"/>
      <c r="AP38" s="496"/>
      <c r="AQ38" s="450"/>
      <c r="AR38" s="538"/>
      <c r="AS38" s="538"/>
      <c r="AT38" s="538"/>
      <c r="AU38" s="538"/>
      <c r="AV38" s="538"/>
      <c r="AW38" s="588">
        <v>0</v>
      </c>
    </row>
    <row s="9793" customFormat="1" customHeight="1" ht="18.75">
      <c r="A39" s="1418"/>
      <c r="B39" s="1418"/>
      <c r="C39" s="1418"/>
      <c r="D39" s="1418"/>
      <c r="E39" s="1418"/>
      <c r="F39" s="1418"/>
      <c r="G39" s="1418"/>
      <c r="H39" s="1418"/>
      <c r="I39" s="1418"/>
      <c r="J39" s="1418"/>
      <c r="K39" s="1418"/>
      <c r="L39" s="1418"/>
      <c r="M39" s="1550"/>
      <c r="N39" s="1418"/>
      <c r="O39" s="1418"/>
      <c r="P39" s="1418"/>
      <c r="U39" s="2420" t="s">
        <v>427</v>
      </c>
      <c r="V39" s="2420"/>
      <c r="W39" s="1542"/>
      <c r="X39" s="2421" t="str">
        <f>IF(TITLE_NUMBER_PR_CHANGE="",IF(TITLE_NUMBER_PR="","",TITLE_NUMBER_PR),TITLE_NUMBER_PR_CHANGE)</f>
        <v>1005,1062</v>
      </c>
      <c r="Y39" s="2421"/>
      <c r="Z39" s="2421"/>
      <c r="AA39" s="2421"/>
      <c r="AB39" s="2421"/>
      <c r="AC39" s="2421"/>
      <c r="AD39" s="2421"/>
      <c r="AE39" s="2421"/>
      <c r="AF39" s="496"/>
      <c r="AG39" s="2421" t="str">
        <f>IF(TITLE_NUMBER_PR_CHANGE="",IF(TITLE_NUMBER_PR="","",TITLE_NUMBER_PR),TITLE_NUMBER_PR_CHANGE)</f>
        <v>1005,1062</v>
      </c>
      <c r="AH39" s="2421"/>
      <c r="AI39" s="2421"/>
      <c r="AJ39" s="2421"/>
      <c r="AK39" s="2421"/>
      <c r="AL39" s="2421"/>
      <c r="AM39" s="2421"/>
      <c r="AN39" s="2421"/>
      <c r="AO39" s="496"/>
      <c r="AP39" s="496"/>
      <c r="AQ39" s="450"/>
      <c r="AR39" s="538"/>
      <c r="AS39" s="538"/>
      <c r="AT39" s="538"/>
      <c r="AU39" s="538"/>
      <c r="AV39" s="538"/>
      <c r="AW39" s="588">
        <v>0</v>
      </c>
    </row>
    <row s="9793"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428</v>
      </c>
      <c r="AG40" s="496"/>
      <c r="AH40" s="496"/>
      <c r="AI40" s="496"/>
      <c r="AJ40" s="496"/>
      <c r="AK40" s="496"/>
      <c r="AL40" s="496"/>
      <c r="AM40" s="496"/>
      <c r="AN40" s="496"/>
      <c r="AO40" s="448" t="s">
        <v>428</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303</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304</v>
      </c>
      <c r="AW42" s="1325">
        <v>14</v>
      </c>
    </row>
    <row customHeight="1" ht="14.699999999999998">
      <c r="R43" s="546"/>
      <c r="S43" s="546"/>
      <c r="T43" s="546"/>
      <c r="U43" s="2443" t="s">
        <v>87</v>
      </c>
      <c r="V43" s="2379" t="s">
        <v>429</v>
      </c>
      <c r="W43" s="471"/>
      <c r="X43" s="2444" t="s">
        <v>430</v>
      </c>
      <c r="Y43" s="2461"/>
      <c r="Z43" s="2461"/>
      <c r="AA43" s="2461"/>
      <c r="AB43" s="2461"/>
      <c r="AC43" s="2445"/>
      <c r="AD43" s="2445"/>
      <c r="AE43" s="2446"/>
      <c r="AF43" s="2447" t="s">
        <v>431</v>
      </c>
      <c r="AG43" s="2444" t="s">
        <v>430</v>
      </c>
      <c r="AH43" s="2461"/>
      <c r="AI43" s="2461"/>
      <c r="AJ43" s="2461"/>
      <c r="AK43" s="2461"/>
      <c r="AL43" s="2445"/>
      <c r="AM43" s="2445"/>
      <c r="AN43" s="2446"/>
      <c r="AO43" s="2447" t="s">
        <v>432</v>
      </c>
      <c r="AP43" s="2450" t="s">
        <v>433</v>
      </c>
      <c r="AQ43" s="2297"/>
      <c r="AW43" s="1325">
        <v>14</v>
      </c>
    </row>
    <row customHeight="1" ht="35.699999999999996">
      <c r="R44" s="546"/>
      <c r="S44" s="546"/>
      <c r="T44" s="546"/>
      <c r="U44" s="2443"/>
      <c r="V44" s="2379"/>
      <c r="W44" s="1201"/>
      <c r="X44" s="2464" t="s">
        <v>455</v>
      </c>
      <c r="Y44" s="2482" t="s">
        <v>456</v>
      </c>
      <c r="Z44" s="2482"/>
      <c r="AA44" s="2482"/>
      <c r="AB44" s="2482"/>
      <c r="AC44" s="2464" t="s">
        <v>437</v>
      </c>
      <c r="AD44" s="2781"/>
      <c r="AE44" s="2484"/>
      <c r="AF44" s="2448"/>
      <c r="AG44" s="2464" t="s">
        <v>455</v>
      </c>
      <c r="AH44" s="2482" t="s">
        <v>456</v>
      </c>
      <c r="AI44" s="2482"/>
      <c r="AJ44" s="2482"/>
      <c r="AK44" s="2482"/>
      <c r="AL44" s="2464" t="s">
        <v>437</v>
      </c>
      <c r="AM44" s="2781"/>
      <c r="AN44" s="2484"/>
      <c r="AO44" s="2448"/>
      <c r="AP44" s="2451"/>
      <c r="AQ44" s="2297"/>
      <c r="AW44" s="1325">
        <v>34</v>
      </c>
    </row>
    <row customHeight="1" ht="14.699999999999998">
      <c r="R45" s="546"/>
      <c r="S45" s="546"/>
      <c r="T45" s="546"/>
      <c r="U45" s="2443"/>
      <c r="V45" s="2379"/>
      <c r="W45" s="1201"/>
      <c r="X45" s="2495"/>
      <c r="Y45" s="2487" t="s">
        <v>457</v>
      </c>
      <c r="Z45" s="2440" t="s">
        <v>458</v>
      </c>
      <c r="AA45" s="2490"/>
      <c r="AB45" s="2441"/>
      <c r="AC45" s="2465"/>
      <c r="AD45" s="2782"/>
      <c r="AE45" s="2486"/>
      <c r="AF45" s="2448"/>
      <c r="AG45" s="2495"/>
      <c r="AH45" s="2487" t="s">
        <v>457</v>
      </c>
      <c r="AI45" s="2440" t="s">
        <v>458</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459</v>
      </c>
      <c r="AA46" s="2440" t="s">
        <v>460</v>
      </c>
      <c r="AB46" s="2441"/>
      <c r="AC46" s="2487" t="s">
        <v>447</v>
      </c>
      <c r="AD46" s="2491" t="s">
        <v>448</v>
      </c>
      <c r="AE46" s="2492"/>
      <c r="AF46" s="2448"/>
      <c r="AG46" s="2495"/>
      <c r="AH46" s="2488"/>
      <c r="AI46" s="2487" t="s">
        <v>459</v>
      </c>
      <c r="AJ46" s="2440" t="s">
        <v>460</v>
      </c>
      <c r="AK46" s="2441"/>
      <c r="AL46" s="2487" t="s">
        <v>447</v>
      </c>
      <c r="AM46" s="2491" t="s">
        <v>448</v>
      </c>
      <c r="AN46" s="2492"/>
      <c r="AO46" s="2448"/>
      <c r="AP46" s="2451"/>
      <c r="AQ46" s="2297"/>
      <c r="AW46" s="1325">
        <v>26</v>
      </c>
    </row>
    <row customHeight="1" ht="65.25">
      <c r="A47" s="1429"/>
      <c r="B47" s="1429" t="s">
        <v>134</v>
      </c>
      <c r="C47" s="1429" t="s">
        <v>135</v>
      </c>
      <c r="D47" s="1429" t="s">
        <v>136</v>
      </c>
      <c r="E47" s="1480" t="s">
        <v>438</v>
      </c>
      <c r="F47" s="1480" t="s">
        <v>439</v>
      </c>
      <c r="G47" s="1480" t="s">
        <v>440</v>
      </c>
      <c r="H47" s="1480" t="s">
        <v>441</v>
      </c>
      <c r="I47" s="1480" t="s">
        <v>442</v>
      </c>
      <c r="J47" s="1480" t="s">
        <v>443</v>
      </c>
      <c r="K47" s="1480" t="s">
        <v>444</v>
      </c>
      <c r="L47" s="1480" t="s">
        <v>461</v>
      </c>
      <c r="M47" s="1480" t="s">
        <v>419</v>
      </c>
      <c r="R47" s="546"/>
      <c r="S47" s="546"/>
      <c r="T47" s="546"/>
      <c r="U47" s="2443"/>
      <c r="V47" s="2379"/>
      <c r="W47" s="472"/>
      <c r="X47" s="2465"/>
      <c r="Y47" s="2489"/>
      <c r="Z47" s="2489"/>
      <c r="AA47" s="1392" t="s">
        <v>462</v>
      </c>
      <c r="AB47" s="1392" t="s">
        <v>463</v>
      </c>
      <c r="AC47" s="2489"/>
      <c r="AD47" s="2493"/>
      <c r="AE47" s="2494"/>
      <c r="AF47" s="2449"/>
      <c r="AG47" s="2465"/>
      <c r="AH47" s="2489"/>
      <c r="AI47" s="2489"/>
      <c r="AJ47" s="1392" t="s">
        <v>462</v>
      </c>
      <c r="AK47" s="1392" t="s">
        <v>463</v>
      </c>
      <c r="AL47" s="2489"/>
      <c r="AM47" s="2493"/>
      <c r="AN47" s="2494"/>
      <c r="AO47" s="2449"/>
      <c r="AP47" s="2452"/>
      <c r="AQ47" s="2297"/>
      <c r="AW47" s="1325">
        <v>62</v>
      </c>
    </row>
    <row s="10287"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108</v>
      </c>
      <c r="V48" s="1425" t="s">
        <v>109</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173</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122</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173</v>
      </c>
      <c r="B50" s="1437" t="s">
        <v>174</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400</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401</v>
      </c>
      <c r="AS50" s="670"/>
      <c r="AT50" s="670" t="str">
        <f>IF(V50="","",V50)</f>
        <v>Территория действия тарифа</v>
      </c>
      <c r="AU50" s="670"/>
      <c r="AV50" s="670"/>
      <c r="AW50" s="1325">
        <v>21</v>
      </c>
    </row>
    <row customHeight="1" ht="24">
      <c r="A51" s="1437" t="s">
        <v>173</v>
      </c>
      <c r="B51" s="1437" t="s">
        <v>174</v>
      </c>
      <c r="C51" s="1437" t="s">
        <v>175</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402</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403</v>
      </c>
      <c r="AS51" s="670"/>
      <c r="AT51" s="670" t="str">
        <f>IF(V51="","",V51)</f>
        <v>Наименование системы теплоснабжения </v>
      </c>
      <c r="AU51" s="670"/>
      <c r="AV51" s="670"/>
      <c r="AW51" s="1325">
        <v>23</v>
      </c>
    </row>
    <row customHeight="1" ht="22.049999999999997">
      <c r="A52" s="1437" t="s">
        <v>173</v>
      </c>
      <c r="B52" s="1437" t="s">
        <v>174</v>
      </c>
      <c r="C52" s="1437" t="s">
        <v>175</v>
      </c>
      <c r="D52" s="1437" t="s">
        <v>176</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404</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405</v>
      </c>
      <c r="AS52" s="670"/>
      <c r="AT52" s="670" t="str">
        <f>IF(V52="","",V52)</f>
        <v>Источник тепловой энергии  </v>
      </c>
      <c r="AU52" s="670"/>
      <c r="AV52" s="670"/>
      <c r="AW52" s="1325">
        <v>21</v>
      </c>
    </row>
    <row s="9667" customFormat="1" customHeight="1" ht="0">
      <c r="A53" s="1545" t="s">
        <v>173</v>
      </c>
      <c r="B53" s="1545" t="s">
        <v>174</v>
      </c>
      <c r="C53" s="1545" t="s">
        <v>175</v>
      </c>
      <c r="D53" s="1545" t="s">
        <v>176</v>
      </c>
      <c r="E53" s="2460"/>
      <c r="F53" s="2460"/>
      <c r="G53" s="2460"/>
      <c r="H53" s="2481"/>
      <c r="I53" s="2297" t="str">
        <f>U52&amp;".1"</f>
        <v>....1</v>
      </c>
      <c r="J53" s="1545"/>
      <c r="K53" s="1545"/>
      <c r="L53" s="1545"/>
      <c r="M53" s="1551" t="s">
        <v>406</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173</v>
      </c>
      <c r="B54" s="1437" t="s">
        <v>174</v>
      </c>
      <c r="C54" s="1437" t="s">
        <v>175</v>
      </c>
      <c r="D54" s="1437" t="s">
        <v>176</v>
      </c>
      <c r="E54" s="2460"/>
      <c r="F54" s="2460"/>
      <c r="G54" s="2460"/>
      <c r="H54" s="2481"/>
      <c r="I54" s="2271"/>
      <c r="J54" s="2297" t="str">
        <f>I53&amp;".1"</f>
        <v>....1.1</v>
      </c>
      <c r="K54" s="1437"/>
      <c r="L54" s="1437"/>
      <c r="M54" s="1480" t="s">
        <v>409</v>
      </c>
      <c r="Q54" s="2427"/>
      <c r="R54" s="2427">
        <v>1</v>
      </c>
      <c r="S54" s="688"/>
      <c r="T54" s="527"/>
      <c r="U54" s="1506" t="str">
        <f>$J54</f>
        <v>....1.1</v>
      </c>
      <c r="V54" s="456" t="s">
        <v>410</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411</v>
      </c>
      <c r="AS54" s="670"/>
      <c r="AT54" s="670" t="str">
        <f>IF(V54="","",V54)</f>
        <v>Группа потребителей</v>
      </c>
      <c r="AU54" s="670"/>
      <c r="AV54" s="670"/>
      <c r="AW54" s="1325">
        <v>21</v>
      </c>
    </row>
    <row customHeight="1" ht="22.049999999999997">
      <c r="A55" s="1437" t="s">
        <v>173</v>
      </c>
      <c r="B55" s="1437" t="s">
        <v>174</v>
      </c>
      <c r="C55" s="1437" t="s">
        <v>175</v>
      </c>
      <c r="D55" s="1437" t="s">
        <v>176</v>
      </c>
      <c r="E55" s="2460"/>
      <c r="F55" s="2460"/>
      <c r="G55" s="2460"/>
      <c r="H55" s="2481"/>
      <c r="I55" s="2271"/>
      <c r="J55" s="2271"/>
      <c r="K55" s="2297" t="str">
        <f>J54&amp;".1"</f>
        <v>....1.1.1</v>
      </c>
      <c r="L55" s="309"/>
      <c r="M55" s="1480" t="s">
        <v>412</v>
      </c>
      <c r="Q55" s="2427"/>
      <c r="R55" s="2427"/>
      <c r="S55" s="688">
        <v>1</v>
      </c>
      <c r="T55" s="527"/>
      <c r="U55" s="1506" t="str">
        <f>$K55</f>
        <v>....1.1.1</v>
      </c>
      <c r="V55" s="1517"/>
      <c r="W55" s="470"/>
      <c r="X55" s="921"/>
      <c r="Y55" s="921"/>
      <c r="Z55" s="921"/>
      <c r="AA55" s="921"/>
      <c r="AB55" s="1575"/>
      <c r="AC55" s="2435"/>
      <c r="AD55" s="2277" t="s">
        <v>65</v>
      </c>
      <c r="AE55" s="2435"/>
      <c r="AF55" s="2277" t="s">
        <v>65</v>
      </c>
      <c r="AG55" s="1577"/>
      <c r="AH55" s="921"/>
      <c r="AI55" s="921"/>
      <c r="AJ55" s="921"/>
      <c r="AK55" s="1427"/>
      <c r="AL55" s="2435"/>
      <c r="AM55" s="2277" t="s">
        <v>65</v>
      </c>
      <c r="AN55" s="2435"/>
      <c r="AO55" s="2277" t="s">
        <v>65</v>
      </c>
      <c r="AP55" s="1518"/>
      <c r="AQ55" s="1477" t="s">
        <v>452</v>
      </c>
      <c r="AR55" s="681">
        <f>STRCHECKDATE(X57:AP57)</f>
      </c>
      <c r="AS55" s="670"/>
      <c r="AT55" s="670" t="str">
        <f>IF(V55="","",V55)</f>
        <v/>
      </c>
      <c r="AU55" s="670"/>
      <c r="AV55" s="670"/>
      <c r="AW55" s="1325">
        <v>21</v>
      </c>
    </row>
    <row customHeight="1" ht="11.549999999999999">
      <c r="A56" s="1437" t="s">
        <v>173</v>
      </c>
      <c r="B56" s="1437" t="s">
        <v>174</v>
      </c>
      <c r="C56" s="1437" t="s">
        <v>175</v>
      </c>
      <c r="D56" s="1437" t="s">
        <v>176</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453</v>
      </c>
      <c r="AR56" s="681">
        <f>STRCHECKDATE(X58:AP58)</f>
      </c>
      <c r="AS56" s="670"/>
      <c r="AT56" s="670" t="str">
        <f>IF(V56="","",V56)</f>
        <v/>
      </c>
      <c r="AU56" s="670"/>
      <c r="AV56" s="670"/>
      <c r="AW56" s="1325">
        <v>11</v>
      </c>
    </row>
    <row customHeight="1" ht="0">
      <c r="A57" s="1437" t="s">
        <v>173</v>
      </c>
      <c r="B57" s="1437" t="s">
        <v>174</v>
      </c>
      <c r="C57" s="1437" t="s">
        <v>175</v>
      </c>
      <c r="D57" s="1437" t="s">
        <v>176</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173</v>
      </c>
      <c r="B58" s="1437" t="s">
        <v>174</v>
      </c>
      <c r="C58" s="1437" t="s">
        <v>175</v>
      </c>
      <c r="D58" s="1437" t="s">
        <v>176</v>
      </c>
      <c r="E58" s="2460"/>
      <c r="F58" s="2460"/>
      <c r="G58" s="2460"/>
      <c r="H58" s="2481"/>
      <c r="I58" s="2271"/>
      <c r="J58" s="2271"/>
      <c r="K58" s="2297"/>
      <c r="L58" s="1437"/>
      <c r="M58" s="1480"/>
      <c r="Q58" s="2427"/>
      <c r="R58" s="2427"/>
      <c r="S58" s="1501"/>
      <c r="T58" s="526"/>
      <c r="U58" s="1448"/>
      <c r="V58" s="458" t="s">
        <v>454</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173</v>
      </c>
      <c r="B59" s="1437" t="s">
        <v>174</v>
      </c>
      <c r="C59" s="1437" t="s">
        <v>175</v>
      </c>
      <c r="D59" s="1437" t="s">
        <v>176</v>
      </c>
      <c r="E59" s="2460"/>
      <c r="F59" s="2460"/>
      <c r="G59" s="2460"/>
      <c r="H59" s="2481"/>
      <c r="I59" s="2271"/>
      <c r="J59" s="2297"/>
      <c r="K59" s="1437"/>
      <c r="L59" s="1437"/>
      <c r="M59" s="1480"/>
      <c r="Q59" s="2427"/>
      <c r="R59" s="2427"/>
      <c r="S59" s="1501"/>
      <c r="T59" s="526"/>
      <c r="U59" s="1448"/>
      <c r="V59" s="457" t="s">
        <v>414</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173</v>
      </c>
      <c r="B60" s="1437" t="s">
        <v>174</v>
      </c>
      <c r="C60" s="1437" t="s">
        <v>175</v>
      </c>
      <c r="D60" s="1437" t="s">
        <v>176</v>
      </c>
      <c r="E60" s="2460"/>
      <c r="F60" s="2460"/>
      <c r="G60" s="2460"/>
      <c r="H60" s="2481"/>
      <c r="I60" s="2297"/>
      <c r="J60" s="1437"/>
      <c r="K60" s="1437"/>
      <c r="L60" s="1437"/>
      <c r="M60" s="1480"/>
      <c r="Q60" s="2427"/>
      <c r="R60" s="1501"/>
      <c r="S60" s="1501"/>
      <c r="T60" s="526"/>
      <c r="U60" s="1448"/>
      <c r="V60" s="535" t="s">
        <v>415</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173</v>
      </c>
      <c r="B61" s="1437" t="s">
        <v>174</v>
      </c>
      <c r="C61" s="1437" t="s">
        <v>175</v>
      </c>
      <c r="D61" s="1437" t="s">
        <v>176</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9667" customFormat="1" customHeight="1" ht="0">
      <c r="A62" s="1545" t="s">
        <v>173</v>
      </c>
      <c r="B62" s="1545" t="s">
        <v>174</v>
      </c>
      <c r="C62" s="1545" t="s">
        <v>175</v>
      </c>
      <c r="D62" s="1544"/>
      <c r="E62" s="2460"/>
      <c r="F62" s="2460"/>
      <c r="G62" s="2459"/>
      <c r="H62" s="1544"/>
      <c r="I62" s="1544"/>
      <c r="J62" s="1544"/>
      <c r="K62" s="1544"/>
      <c r="L62" s="1544"/>
      <c r="M62" s="1547"/>
      <c r="N62" s="1548"/>
      <c r="O62" s="1548"/>
      <c r="P62" s="521"/>
      <c r="Q62" s="1486"/>
      <c r="R62" s="1487"/>
      <c r="S62" s="1486"/>
      <c r="T62" s="1486"/>
      <c r="U62" s="1492"/>
      <c r="V62" s="1495" t="s">
        <v>417</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9667" customFormat="1" customHeight="1" ht="0">
      <c r="A63" s="1545" t="s">
        <v>173</v>
      </c>
      <c r="B63" s="1545" t="s">
        <v>174</v>
      </c>
      <c r="C63" s="1544"/>
      <c r="D63" s="1544"/>
      <c r="E63" s="2460"/>
      <c r="F63" s="2459"/>
      <c r="G63" s="1544"/>
      <c r="H63" s="1544"/>
      <c r="I63" s="1544"/>
      <c r="J63" s="1544"/>
      <c r="K63" s="1544"/>
      <c r="L63" s="1544"/>
      <c r="M63" s="1547"/>
      <c r="N63" s="1549"/>
      <c r="O63" s="1549"/>
      <c r="P63" s="521"/>
      <c r="Q63" s="1486"/>
      <c r="R63" s="1487"/>
      <c r="S63" s="1486"/>
      <c r="T63" s="1486"/>
      <c r="U63" s="1492"/>
      <c r="V63" s="1495" t="s">
        <v>228</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9667" customFormat="1" customHeight="1" ht="0">
      <c r="A64" s="1545" t="s">
        <v>173</v>
      </c>
      <c r="B64" s="1545"/>
      <c r="C64" s="1545"/>
      <c r="D64" s="1545"/>
      <c r="E64" s="2459"/>
      <c r="F64" s="1545"/>
      <c r="G64" s="1545"/>
      <c r="H64" s="1545"/>
      <c r="I64" s="1545"/>
      <c r="J64" s="1545"/>
      <c r="K64" s="1545"/>
      <c r="L64" s="1545"/>
      <c r="M64" s="1551"/>
      <c r="N64" s="1549"/>
      <c r="O64" s="1549"/>
      <c r="P64" s="521"/>
      <c r="Q64" s="550"/>
      <c r="R64" s="1514"/>
      <c r="S64" s="550"/>
      <c r="T64" s="550"/>
      <c r="U64" s="1492"/>
      <c r="V64" s="1495" t="s">
        <v>229</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9667"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230</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81</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8A958D-99EB-EC66-19B6-36A25F69E9E7}" mc:Ignorable="x14ac xr xr2 xr3">
  <sheetPr>
    <tabColor rgb="FFCCCCFF"/>
  </sheetPr>
  <dimension ref="A1:Q79"/>
  <sheetViews>
    <sheetView topLeftCell="A1" showGridLines="0" zoomScale="90" workbookViewId="0">
      <selection activeCell="I31" sqref="I31"/>
    </sheetView>
  </sheetViews>
  <sheetFormatPr defaultColWidth="9.140625" customHeight="1" defaultRowHeight="11.25"/>
  <cols>
    <col min="1" max="1" style="9661" width="10.7109375" hidden="1" customWidth="1"/>
    <col min="2" max="2" style="9662" width="10.7109375" hidden="1" customWidth="1"/>
    <col min="3" max="3" style="9663" width="3.00390625" customWidth="1"/>
    <col min="4" max="4" style="9589" width="1.00390625" customWidth="1"/>
    <col min="5" max="6" style="9589" width="55.00390625" customWidth="1"/>
    <col min="7" max="7" style="9664" width="1.00390625" customWidth="1"/>
    <col min="8" max="8" style="9589" width="18.00390625" hidden="1" customWidth="1"/>
    <col min="9" max="9" style="9665" width="59.00390625" customWidth="1"/>
    <col min="10" max="10" style="9666" width="52.140625" hidden="1" customWidth="1"/>
    <col min="11" max="11" style="9589" width="8.00390625" customWidth="1"/>
    <col min="12" max="12" style="9589" width="77.00390625" customWidth="1"/>
    <col min="13" max="16" style="9589" width="8.00390625" customWidth="1"/>
    <col min="17" max="17" style="9589" width="12.00390625" hidden="1" customWidth="1"/>
  </cols>
  <sheetData>
    <row s="9546" customFormat="1" customHeight="1" ht="3">
      <c r="A1" s="953"/>
      <c r="B1" s="411"/>
      <c r="F1" s="412" t="s">
        <v>13</v>
      </c>
      <c r="G1" s="581"/>
      <c r="H1" s="241"/>
      <c r="I1" s="581"/>
      <c r="J1" s="1041"/>
      <c r="Q1" s="412" t="s">
        <v>14</v>
      </c>
    </row>
    <row s="9553" customFormat="1" customHeight="1" ht="14.25">
      <c r="A2" s="953"/>
      <c r="B2" s="268"/>
      <c r="E2" s="1910" t="str">
        <f>code</f>
        <v>Код отчёта: PP108.OPEN.INFO.REQUEST.COLDVSNA.EIAS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9564" customFormat="1" customHeight="1" ht="6.3">
      <c r="A4" s="954"/>
      <c r="B4" s="402"/>
      <c r="C4" s="403"/>
      <c r="D4" s="404"/>
      <c r="E4" s="413"/>
      <c r="F4" s="414"/>
      <c r="G4" s="941"/>
      <c r="H4" s="579"/>
      <c r="I4" s="581"/>
      <c r="J4" s="1044"/>
      <c r="Q4" s="406">
        <v>6</v>
      </c>
    </row>
    <row customHeight="1" ht="39.75">
      <c r="D5" s="245"/>
      <c r="E5" s="226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66"/>
      <c r="G5" s="942"/>
      <c r="J5" s="1045"/>
      <c r="Q5" s="244">
        <v>38</v>
      </c>
    </row>
    <row s="9564"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9564" customFormat="1" customHeight="1" ht="6.3">
      <c r="A8" s="955"/>
      <c r="B8" s="402"/>
      <c r="C8" s="403"/>
      <c r="D8" s="409"/>
      <c r="E8" s="407"/>
      <c r="F8" s="410"/>
      <c r="G8" s="247"/>
      <c r="H8" s="579"/>
      <c r="I8" s="581"/>
      <c r="J8" s="1047"/>
      <c r="Q8" s="406">
        <v>6</v>
      </c>
    </row>
    <row s="9589"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9564"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45658.408472222225</v>
      </c>
      <c r="G11" s="247"/>
      <c r="H11" s="943" t="s">
        <v>22</v>
      </c>
      <c r="J11" s="1046" t="s">
        <v>23</v>
      </c>
      <c r="Q11" s="244">
        <v>0</v>
      </c>
    </row>
    <row customHeight="1" ht="22.5">
      <c r="A12" s="2268"/>
      <c r="D12" s="245"/>
      <c r="E12" s="1335" t="s">
        <v>24</v>
      </c>
      <c r="F12" s="2900">
        <v>46022.40855324074</v>
      </c>
      <c r="G12" s="243"/>
      <c r="J12" s="1046" t="s">
        <v>25</v>
      </c>
      <c r="Q12" s="244">
        <v>0</v>
      </c>
    </row>
    <row s="9589" customFormat="1" customHeight="1" ht="22.5" hidden="1">
      <c r="A13" s="958" t="s">
        <v>26</v>
      </c>
      <c r="B13" s="268"/>
      <c r="C13" s="578"/>
      <c r="D13" s="580"/>
      <c r="E13" s="1945" t="s">
        <v>27</v>
      </c>
      <c r="F13" s="1902" t="s">
        <v>28</v>
      </c>
      <c r="G13" s="247"/>
      <c r="H13" s="940"/>
      <c r="I13" s="581"/>
      <c r="J13" s="1946" t="s">
        <v>29</v>
      </c>
      <c r="Q13" s="579">
        <v>0</v>
      </c>
    </row>
    <row s="9589" customFormat="1" customHeight="1" ht="27" hidden="1">
      <c r="A14" s="958" t="s">
        <v>30</v>
      </c>
      <c r="B14" s="268"/>
      <c r="C14" s="578"/>
      <c r="D14" s="580"/>
      <c r="E14" s="1335" t="s">
        <v>31</v>
      </c>
      <c r="F14" s="1937"/>
      <c r="G14" s="247"/>
      <c r="H14" s="940"/>
      <c r="I14" s="581"/>
      <c r="J14" s="1046" t="s">
        <v>32</v>
      </c>
      <c r="Q14" s="579">
        <v>0</v>
      </c>
    </row>
    <row s="9589" customFormat="1" customHeight="1" ht="19.5" hidden="1">
      <c r="A15" s="958" t="s">
        <v>33</v>
      </c>
      <c r="B15" s="268"/>
      <c r="C15" s="578"/>
      <c r="D15" s="580"/>
      <c r="E15" s="1335" t="s">
        <v>34</v>
      </c>
      <c r="F15" s="1937"/>
      <c r="G15" s="247"/>
      <c r="H15" s="940"/>
      <c r="I15" s="581"/>
      <c r="J15" s="1046" t="s">
        <v>35</v>
      </c>
      <c r="Q15" s="579">
        <v>0</v>
      </c>
    </row>
    <row s="9564" customFormat="1" customHeight="1" ht="6.3">
      <c r="A16" s="955"/>
      <c r="B16" s="402"/>
      <c r="C16" s="403"/>
      <c r="D16" s="409"/>
      <c r="E16" s="407"/>
      <c r="F16" s="410"/>
      <c r="G16" s="247"/>
      <c r="H16" s="579"/>
      <c r="I16" s="581"/>
      <c r="J16" s="1044"/>
      <c r="Q16" s="406">
        <v>6</v>
      </c>
    </row>
    <row customHeight="1" ht="21">
      <c r="D17" s="245"/>
      <c r="E17" s="561" t="s">
        <v>36</v>
      </c>
      <c r="F17" s="386" t="s">
        <v>37</v>
      </c>
      <c r="G17" s="243"/>
      <c r="H17" s="943" t="s">
        <v>22</v>
      </c>
      <c r="Q17" s="244">
        <v>20</v>
      </c>
    </row>
    <row customHeight="1" ht="25.5" hidden="1">
      <c r="D18" s="245"/>
      <c r="E18" s="1945" t="s">
        <v>38</v>
      </c>
      <c r="F18" s="1903"/>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c r="D21" s="245"/>
      <c r="E21" s="561" t="str">
        <f>"Дата "&amp;IF(TEMPLATE_GROUP="P","документа","подачи заявления")&amp;" об утверждении тарифов"</f>
        <v>Дата подачи заявления об утверждении тарифов</v>
      </c>
      <c r="F21" s="2900">
        <v>45408.40866898148</v>
      </c>
      <c r="G21" s="243"/>
      <c r="I21" s="945"/>
      <c r="Q21" s="244">
        <v>0</v>
      </c>
    </row>
    <row customHeight="1" ht="19.5">
      <c r="D22" s="245"/>
      <c r="E22" s="561" t="str">
        <f>"Номер "&amp;IF(TEMPLATE_GROUP="P","документа","подачи заявления")&amp;" об утверждении тарифов"</f>
        <v>Номер подачи заявления об утверждении тарифов</v>
      </c>
      <c r="F22" s="386" t="s">
        <v>41</v>
      </c>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9564"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9564" customFormat="1" customHeight="1" ht="11.549999999999999">
      <c r="A35" s="955"/>
      <c r="B35" s="402"/>
      <c r="C35" s="403"/>
      <c r="D35" s="409"/>
      <c r="E35" s="407"/>
      <c r="F35" s="410"/>
      <c r="G35" s="247"/>
      <c r="H35" s="579"/>
      <c r="I35" s="581"/>
      <c r="J35" s="1044"/>
      <c r="Q35" s="406">
        <v>11</v>
      </c>
    </row>
    <row customHeight="1" ht="19.5" hidden="1">
      <c r="A36" s="1049"/>
      <c r="D36" s="249"/>
      <c r="E36" s="561" t="s">
        <v>52</v>
      </c>
      <c r="F36" s="518"/>
      <c r="G36" s="247"/>
      <c r="Q36" s="244">
        <v>0</v>
      </c>
    </row>
    <row customHeight="1" ht="21">
      <c r="A37" s="1049"/>
      <c r="D37" s="249"/>
      <c r="E37" s="561" t="s">
        <v>53</v>
      </c>
      <c r="F37" s="2925" t="s">
        <v>54</v>
      </c>
      <c r="G37" s="247"/>
      <c r="Q37" s="244">
        <v>20</v>
      </c>
    </row>
    <row s="9564" customFormat="1" customHeight="1" ht="6.3">
      <c r="A38" s="955"/>
      <c r="B38" s="402"/>
      <c r="C38" s="403"/>
      <c r="D38" s="404"/>
      <c r="E38" s="405"/>
      <c r="F38" s="1223"/>
      <c r="G38" s="243"/>
      <c r="H38" s="579"/>
      <c r="I38" s="581"/>
      <c r="J38" s="1046"/>
      <c r="Q38" s="406">
        <v>6</v>
      </c>
    </row>
    <row customHeight="1" ht="36.75">
      <c r="A39" s="955"/>
      <c r="D39" s="245"/>
      <c r="E39" s="561" t="s">
        <v>55</v>
      </c>
      <c r="F39" s="880" t="s">
        <v>19</v>
      </c>
      <c r="G39" s="243"/>
      <c r="H39" s="943" t="s">
        <v>22</v>
      </c>
      <c r="Q39" s="244">
        <v>35</v>
      </c>
    </row>
    <row s="9564" customFormat="1" customHeight="1" ht="6" hidden="1">
      <c r="A40" s="954"/>
      <c r="B40" s="596"/>
      <c r="C40" s="597"/>
      <c r="D40" s="598"/>
      <c r="E40" s="599"/>
      <c r="F40" s="1223"/>
      <c r="G40" s="243"/>
      <c r="H40" s="579"/>
      <c r="I40" s="581"/>
      <c r="J40" s="1046"/>
      <c r="Q40" s="600">
        <v>6</v>
      </c>
    </row>
    <row s="9589"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80" t="s">
        <v>19</v>
      </c>
      <c r="G41" s="243"/>
      <c r="I41" s="581"/>
      <c r="J41" s="1046"/>
      <c r="Q41" s="579">
        <v>0</v>
      </c>
    </row>
    <row s="9564" customFormat="1" customHeight="1" ht="6" hidden="1">
      <c r="A42" s="954"/>
      <c r="B42" s="596"/>
      <c r="C42" s="597"/>
      <c r="D42" s="598"/>
      <c r="E42" s="599"/>
      <c r="F42" s="1223"/>
      <c r="G42" s="243"/>
      <c r="H42" s="579"/>
      <c r="I42" s="581"/>
      <c r="J42" s="1044"/>
      <c r="Q42" s="600">
        <v>0</v>
      </c>
    </row>
    <row s="9589" customFormat="1" customHeight="1" ht="27" hidden="1">
      <c r="A43" s="954"/>
      <c r="B43" s="583"/>
      <c r="C43" s="578"/>
      <c r="D43" s="580"/>
      <c r="E43" s="561" t="s">
        <v>56</v>
      </c>
      <c r="F43" s="880" t="s">
        <v>19</v>
      </c>
      <c r="G43" s="243"/>
      <c r="I43" s="581"/>
      <c r="J43" s="1046"/>
      <c r="Q43" s="579">
        <v>0</v>
      </c>
    </row>
    <row s="9589" customFormat="1" customHeight="1" ht="27" hidden="1">
      <c r="A44" s="954"/>
      <c r="B44" s="583"/>
      <c r="C44" s="578"/>
      <c r="D44" s="580"/>
      <c r="E44" s="1335" t="s">
        <v>57</v>
      </c>
      <c r="F44" s="2058"/>
      <c r="G44" s="243"/>
      <c r="I44" s="581"/>
      <c r="J44" s="1046"/>
      <c r="Q44" s="579">
        <v>0</v>
      </c>
    </row>
    <row s="9564" customFormat="1" customHeight="1" ht="6" hidden="1">
      <c r="A45" s="954"/>
      <c r="B45" s="596"/>
      <c r="C45" s="597"/>
      <c r="D45" s="598"/>
      <c r="E45" s="599"/>
      <c r="F45" s="1223"/>
      <c r="G45" s="243"/>
      <c r="H45" s="579"/>
      <c r="I45" s="581"/>
      <c r="J45" s="1046"/>
      <c r="Q45" s="600">
        <v>0</v>
      </c>
    </row>
    <row s="9564" customFormat="1" customHeight="1" ht="24.75" hidden="1">
      <c r="A46" s="954"/>
      <c r="B46" s="596"/>
      <c r="C46" s="597"/>
      <c r="D46" s="598"/>
      <c r="E46" s="1335" t="s">
        <v>58</v>
      </c>
      <c r="F46" s="880" t="s">
        <v>19</v>
      </c>
      <c r="G46" s="243"/>
      <c r="H46" s="579"/>
      <c r="I46" s="581"/>
      <c r="J46" s="1046"/>
      <c r="Q46" s="600">
        <v>0</v>
      </c>
    </row>
    <row s="9589" customFormat="1" customHeight="1" ht="24.75" hidden="1">
      <c r="A47" s="954"/>
      <c r="B47" s="583"/>
      <c r="C47" s="578"/>
      <c r="D47" s="580"/>
      <c r="E47" s="1335" t="s">
        <v>59</v>
      </c>
      <c r="F47" s="880" t="s">
        <v>19</v>
      </c>
      <c r="G47" s="243"/>
      <c r="I47" s="581"/>
      <c r="J47" s="1046"/>
      <c r="Q47" s="579">
        <v>0</v>
      </c>
    </row>
    <row s="9564"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80"/>
      <c r="G49" s="243"/>
      <c r="Q49" s="244">
        <v>0</v>
      </c>
    </row>
    <row s="9564" customFormat="1" customHeight="1" ht="6" hidden="1">
      <c r="A50" s="955"/>
      <c r="B50" s="596"/>
      <c r="C50" s="597"/>
      <c r="D50" s="409"/>
      <c r="E50" s="407"/>
      <c r="F50" s="410"/>
      <c r="G50" s="247"/>
      <c r="H50" s="579"/>
      <c r="I50" s="581"/>
      <c r="J50" s="1046"/>
      <c r="Q50" s="600">
        <v>0</v>
      </c>
    </row>
    <row s="9589" customFormat="1" customHeight="1" ht="28.5" hidden="1">
      <c r="A51" s="956"/>
      <c r="B51" s="583"/>
      <c r="C51" s="700"/>
      <c r="D51" s="701"/>
      <c r="E51" s="561" t="s">
        <v>60</v>
      </c>
      <c r="F51" s="880" t="s">
        <v>19</v>
      </c>
      <c r="G51" s="702"/>
      <c r="I51" s="704"/>
      <c r="J51" s="1048"/>
      <c r="P51" s="705"/>
      <c r="Q51" s="703">
        <v>0</v>
      </c>
    </row>
    <row s="9564" customFormat="1" customHeight="1" ht="6" hidden="1">
      <c r="A52" s="955"/>
      <c r="B52" s="596"/>
      <c r="C52" s="597"/>
      <c r="D52" s="409"/>
      <c r="E52" s="407"/>
      <c r="F52" s="410"/>
      <c r="G52" s="247"/>
      <c r="H52" s="579"/>
      <c r="I52" s="581"/>
      <c r="J52" s="1044"/>
      <c r="Q52" s="600">
        <v>0</v>
      </c>
    </row>
    <row s="9589" customFormat="1" customHeight="1" ht="27" hidden="1">
      <c r="A53" s="956"/>
      <c r="B53" s="583"/>
      <c r="C53" s="700"/>
      <c r="D53" s="701"/>
      <c r="E53" s="561" t="s">
        <v>61</v>
      </c>
      <c r="F53" s="1218" t="s">
        <v>19</v>
      </c>
      <c r="G53" s="702"/>
      <c r="I53" s="704"/>
      <c r="J53" s="1048"/>
      <c r="P53" s="705"/>
      <c r="Q53" s="703">
        <v>0</v>
      </c>
    </row>
    <row s="9589" customFormat="1" customHeight="1" ht="27" hidden="1">
      <c r="A54" s="956"/>
      <c r="B54" s="583"/>
      <c r="C54" s="700"/>
      <c r="D54" s="701"/>
      <c r="E54" s="561" t="s">
        <v>62</v>
      </c>
      <c r="F54" s="1944"/>
      <c r="G54" s="702"/>
      <c r="I54" s="704"/>
      <c r="J54" s="1048"/>
      <c r="P54" s="705"/>
      <c r="Q54" s="703">
        <v>0</v>
      </c>
    </row>
    <row s="9564" customFormat="1" customHeight="1" ht="6" hidden="1">
      <c r="A55" s="955"/>
      <c r="B55" s="596"/>
      <c r="C55" s="597"/>
      <c r="D55" s="409"/>
      <c r="E55" s="407"/>
      <c r="F55" s="410"/>
      <c r="G55" s="247"/>
      <c r="H55" s="579"/>
      <c r="I55" s="581"/>
      <c r="J55" s="1044"/>
      <c r="Q55" s="600">
        <v>0</v>
      </c>
    </row>
    <row s="9589" customFormat="1" customHeight="1" ht="25.5" hidden="1">
      <c r="A56" s="956"/>
      <c r="B56" s="583"/>
      <c r="C56" s="700"/>
      <c r="D56" s="701"/>
      <c r="E56" s="561" t="s">
        <v>63</v>
      </c>
      <c r="F56" s="1218" t="s">
        <v>19</v>
      </c>
      <c r="G56" s="702"/>
      <c r="I56" s="704"/>
      <c r="J56" s="1048"/>
      <c r="P56" s="705"/>
      <c r="Q56" s="703">
        <v>0</v>
      </c>
    </row>
    <row s="9564" customFormat="1" customHeight="1" ht="6" hidden="1">
      <c r="A57" s="955"/>
      <c r="B57" s="596"/>
      <c r="C57" s="597"/>
      <c r="D57" s="409"/>
      <c r="E57" s="407"/>
      <c r="F57" s="410"/>
      <c r="G57" s="247"/>
      <c r="H57" s="579"/>
      <c r="I57" s="581"/>
      <c r="J57" s="1044"/>
      <c r="Q57" s="600">
        <v>0</v>
      </c>
    </row>
    <row s="9589" customFormat="1" customHeight="1" ht="15" hidden="1">
      <c r="A58" s="956"/>
      <c r="B58" s="583"/>
      <c r="C58" s="700"/>
      <c r="D58" s="701"/>
      <c r="E58" s="561" t="s">
        <v>64</v>
      </c>
      <c r="F58" s="1218" t="s">
        <v>65</v>
      </c>
      <c r="G58" s="702"/>
      <c r="I58" s="704"/>
      <c r="J58" s="1048"/>
      <c r="P58" s="705"/>
      <c r="Q58" s="703">
        <v>0</v>
      </c>
    </row>
    <row s="9589"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59"/>
      <c r="G59" s="702"/>
      <c r="I59" s="704"/>
      <c r="J59" s="1048"/>
      <c r="P59" s="705"/>
      <c r="Q59" s="703">
        <v>0</v>
      </c>
    </row>
    <row s="9589" customFormat="1" customHeight="1" ht="15" hidden="1">
      <c r="A60" s="956"/>
      <c r="B60" s="583"/>
      <c r="C60" s="700"/>
      <c r="D60" s="701"/>
      <c r="E60" s="1335" t="s">
        <v>66</v>
      </c>
      <c r="F60" s="1321"/>
      <c r="G60" s="702"/>
      <c r="I60" s="704"/>
      <c r="J60" s="1048"/>
      <c r="P60" s="705"/>
      <c r="Q60" s="703">
        <v>0</v>
      </c>
    </row>
    <row s="9564" customFormat="1" customHeight="1" ht="6" hidden="1">
      <c r="A61" s="955"/>
      <c r="B61" s="596"/>
      <c r="C61" s="597"/>
      <c r="D61" s="598"/>
      <c r="E61" s="599"/>
      <c r="F61" s="1223"/>
      <c r="G61" s="243"/>
      <c r="H61" s="579"/>
      <c r="I61" s="581"/>
      <c r="J61" s="1046"/>
      <c r="Q61" s="600">
        <v>0</v>
      </c>
    </row>
    <row s="9589" customFormat="1" customHeight="1" ht="33.75" hidden="1">
      <c r="A62" s="955"/>
      <c r="B62" s="268"/>
      <c r="C62" s="578"/>
      <c r="D62" s="580"/>
      <c r="E62" s="1335" t="s">
        <v>67</v>
      </c>
      <c r="F62" s="1841" t="s">
        <v>65</v>
      </c>
      <c r="G62" s="243"/>
      <c r="H62" s="943" t="s">
        <v>22</v>
      </c>
      <c r="I62" s="581"/>
      <c r="J62" s="1046"/>
      <c r="Q62" s="579">
        <v>0</v>
      </c>
    </row>
    <row s="9564" customFormat="1" customHeight="1" ht="6.3">
      <c r="A63" s="955"/>
      <c r="B63" s="402"/>
      <c r="C63" s="403"/>
      <c r="D63" s="409"/>
      <c r="E63" s="407"/>
      <c r="F63" s="410"/>
      <c r="G63" s="247"/>
      <c r="H63" s="579"/>
      <c r="I63" s="581"/>
      <c r="J63" s="1044"/>
      <c r="Q63" s="406">
        <v>6</v>
      </c>
    </row>
    <row customHeight="1" ht="21">
      <c r="A64" s="957"/>
      <c r="B64" s="269"/>
      <c r="D64" s="252"/>
      <c r="E64" s="561" t="s">
        <v>68</v>
      </c>
      <c r="F64" s="386" t="s">
        <v>69</v>
      </c>
      <c r="G64" s="247"/>
      <c r="Q64" s="244">
        <v>20</v>
      </c>
    </row>
    <row customHeight="1" ht="21">
      <c r="A65" s="957"/>
      <c r="B65" s="269"/>
      <c r="D65" s="252"/>
      <c r="E65" s="561" t="s">
        <v>70</v>
      </c>
      <c r="F65" s="386" t="s">
        <v>71</v>
      </c>
      <c r="G65" s="247"/>
      <c r="Q65" s="244">
        <v>20</v>
      </c>
    </row>
    <row customHeight="1" ht="36.75">
      <c r="D66" s="245"/>
      <c r="E66" s="563" t="s">
        <v>72</v>
      </c>
      <c r="F66" s="1224"/>
      <c r="G66" s="243"/>
      <c r="Q66" s="244">
        <v>35</v>
      </c>
    </row>
    <row customHeight="1" ht="21">
      <c r="A67" s="957"/>
      <c r="D67" s="580"/>
      <c r="E67" s="561" t="s">
        <v>73</v>
      </c>
      <c r="F67" s="441" t="s">
        <v>74</v>
      </c>
      <c r="G67" s="247"/>
      <c r="Q67" s="244">
        <v>20</v>
      </c>
    </row>
    <row customHeight="1" ht="21">
      <c r="A68" s="957"/>
      <c r="B68" s="269"/>
      <c r="D68" s="252"/>
      <c r="E68" s="561" t="s">
        <v>75</v>
      </c>
      <c r="F68" s="441" t="s">
        <v>76</v>
      </c>
      <c r="G68" s="247"/>
      <c r="Q68" s="244">
        <v>20</v>
      </c>
    </row>
    <row customHeight="1" ht="21">
      <c r="A69" s="957"/>
      <c r="B69" s="269"/>
      <c r="D69" s="252"/>
      <c r="E69" s="561" t="s">
        <v>77</v>
      </c>
      <c r="F69" s="441" t="s">
        <v>78</v>
      </c>
      <c r="G69" s="247"/>
      <c r="Q69" s="244">
        <v>20</v>
      </c>
    </row>
    <row customHeight="1" ht="21">
      <c r="D70" s="580"/>
      <c r="E70" s="561" t="s">
        <v>79</v>
      </c>
      <c r="F70" s="441" t="s">
        <v>80</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81</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8A7AF81-6E4D-C66B-7B4B-18245138F7D1}"/>
    <hyperlink ref="H17" location="Титульный!H9" display="Как заполнить?" tooltip="Помощь по работе с полями отчётной формы" xr:uid="{AD44F204-2002-4564-E6ED-C7D7503A2A27}"/>
    <hyperlink ref="H39" location="Титульный!H9" display="Как заполнить?" tooltip="Помощь по работе с полями отчётной формы" xr:uid="{9FD65DAE-E711-95C8-6C8B-31FCE63F4E62}"/>
    <hyperlink ref="H62" location="Титульный!H9" display="Как заполнить?" tooltip="Помощь по работе с полями отчётной формы" xr:uid="{414CB487-3D78-49DD-25F7-C24417C50B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3CF7-9C31-2657-4262-116B4690B9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2" width="3.00390625" customWidth="1"/>
    <col min="17" max="17" style="10718" width="3.00390625" customWidth="1"/>
    <col min="18" max="18" style="10534" width="3.00390625" customWidth="1"/>
    <col min="19" max="19" style="10535" width="12.00390625" customWidth="1"/>
    <col min="20" max="20" style="9589" width="31.00390625" customWidth="1"/>
    <col min="21" max="21" style="9589" width="0.140625" customWidth="1"/>
    <col min="22" max="23" style="9589" width="21.7109375" hidden="1" customWidth="1"/>
    <col min="24" max="24" style="9589" width="11.7109375" hidden="1" customWidth="1"/>
    <col min="25" max="25" style="9589" width="3.7109375" hidden="1" customWidth="1"/>
    <col min="26" max="26" style="9589" width="11.7109375" hidden="1" customWidth="1"/>
    <col min="27" max="27" style="9589" width="8.57421875" hidden="1" customWidth="1"/>
    <col min="28" max="28" style="9589" width="5.421875" customWidth="1"/>
    <col min="29" max="30" style="9589" width="3.00390625" customWidth="1"/>
    <col min="31" max="31" style="9589" width="24.00390625" customWidth="1"/>
    <col min="32" max="32" style="9589" width="3.7109375" customWidth="1"/>
    <col min="33" max="34" style="9589" width="3.00390625" customWidth="1"/>
    <col min="35" max="35" style="9589" width="24.00390625" customWidth="1"/>
    <col min="36" max="36" style="9589" width="3.7109375" customWidth="1"/>
    <col min="37" max="38" style="9589" width="3.00390625" customWidth="1"/>
    <col min="39" max="39" style="9589" width="18.00390625" customWidth="1"/>
    <col min="40" max="41" style="9589" width="21.00390625" customWidth="1"/>
    <col min="42" max="42" style="9589" width="11.00390625" customWidth="1"/>
    <col min="43" max="43" style="9589" width="3.7109375" customWidth="1"/>
    <col min="44" max="44" style="9589" width="11.00390625" customWidth="1"/>
    <col min="45" max="45" style="9589" width="8.57421875" hidden="1" customWidth="1"/>
    <col min="46" max="46" style="9589" width="4.00390625" customWidth="1"/>
    <col min="47" max="47" style="9589" width="115.00390625" customWidth="1"/>
    <col min="48" max="52" style="9667" width="10.00390625" customWidth="1"/>
    <col min="53" max="53" style="9589"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122</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399</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400</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401</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402</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403</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404</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405</v>
      </c>
      <c r="AW5" s="670"/>
      <c r="AX5" s="670" t="str">
        <f>IF(T5="","",T5)</f>
        <v>Источник тепловой энергии  </v>
      </c>
      <c r="AY5" s="670"/>
      <c r="AZ5" s="670"/>
      <c r="BA5" s="1325">
        <v>0</v>
      </c>
    </row>
    <row s="9667" customFormat="1" customHeight="1" ht="0.75" hidden="1">
      <c r="A6" s="1513"/>
      <c r="B6" s="1513"/>
      <c r="C6" s="1513"/>
      <c r="D6" s="1513"/>
      <c r="E6" s="2429"/>
      <c r="F6" s="2429"/>
      <c r="G6" s="2429"/>
      <c r="H6" s="2429"/>
      <c r="I6" s="2426">
        <f>S5&amp;".1"</f>
      </c>
      <c r="J6" s="1513"/>
      <c r="K6" s="1513"/>
      <c r="L6" s="1516" t="s">
        <v>406</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9667"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65</v>
      </c>
      <c r="Z8" s="2435"/>
      <c r="AA8" s="2277" t="s">
        <v>65</v>
      </c>
      <c r="AB8" s="2277" t="s">
        <v>19</v>
      </c>
      <c r="AC8" s="2496"/>
      <c r="AD8" s="2375">
        <v>1</v>
      </c>
      <c r="AE8" s="2497"/>
      <c r="AF8" s="2277" t="s">
        <v>19</v>
      </c>
      <c r="AG8" s="2496"/>
      <c r="AH8" s="2375">
        <v>1</v>
      </c>
      <c r="AI8" s="2497"/>
      <c r="AJ8" s="2277" t="s">
        <v>19</v>
      </c>
      <c r="AK8" s="481"/>
      <c r="AL8" s="1507">
        <v>1</v>
      </c>
      <c r="AM8" s="1568"/>
      <c r="AN8" s="921"/>
      <c r="AO8" s="1427"/>
      <c r="AP8" s="1904"/>
      <c r="AQ8" s="1629" t="s">
        <v>65</v>
      </c>
      <c r="AR8" s="1904"/>
      <c r="AS8" s="1629" t="s">
        <v>65</v>
      </c>
      <c r="AT8" s="1518"/>
      <c r="AU8" s="2423" t="s">
        <v>464</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465</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466</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467</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468</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9667"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9667"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9667"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417</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9667"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228</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9667"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229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65</v>
      </c>
      <c r="AR19" s="1906"/>
      <c r="AS19" s="1630" t="s">
        <v>65</v>
      </c>
      <c r="BA19" s="1325">
        <v>0</v>
      </c>
    </row>
    <row customHeight="1" ht="14.25" hidden="1">
      <c r="AV20" s="666"/>
      <c r="AW20" s="666"/>
      <c r="AX20" s="666"/>
      <c r="AY20" s="666"/>
      <c r="AZ20" s="666"/>
      <c r="BA20" s="1325">
        <v>0</v>
      </c>
    </row>
    <row customHeight="1" ht="14.25" hidden="1">
      <c r="O21" s="1537" t="s">
        <v>418</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0689" customFormat="1" customHeight="1" ht="14.25" hidden="1">
      <c r="M23" s="1678"/>
      <c r="N23" s="1678"/>
      <c r="O23" s="1679" t="s">
        <v>419</v>
      </c>
      <c r="P23" s="1678"/>
      <c r="Q23" s="1680"/>
      <c r="R23" s="1680"/>
      <c r="Y23" s="1677" t="s">
        <v>421</v>
      </c>
      <c r="AA23" s="1677" t="s">
        <v>422</v>
      </c>
      <c r="AB23" s="1677" t="s">
        <v>469</v>
      </c>
      <c r="AE23" s="1677" t="s">
        <v>470</v>
      </c>
      <c r="AF23" s="1677" t="s">
        <v>469</v>
      </c>
      <c r="AI23" s="1677" t="s">
        <v>471</v>
      </c>
      <c r="AJ23" s="1677" t="s">
        <v>469</v>
      </c>
      <c r="AM23" s="1677" t="s">
        <v>472</v>
      </c>
      <c r="AQ23" s="1677" t="s">
        <v>421</v>
      </c>
      <c r="AS23" s="1677" t="s">
        <v>422</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МУП "Водоканал"</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9793"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9793"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424</v>
      </c>
      <c r="T31" s="2420"/>
      <c r="U31" s="1542"/>
      <c r="V31" s="2434" t="str">
        <f>IF(TITLE_DATE_PR_CHANGE="",IF(TITLE_DATE_PR="","",TITLE_DATE_PR),TITLE_DATE_PR_CHANGE)</f>
        <v>45408.40866898148</v>
      </c>
      <c r="W31" s="2434"/>
      <c r="X31" s="2434"/>
      <c r="Y31" s="2434"/>
      <c r="Z31" s="2434"/>
      <c r="AA31" s="496"/>
      <c r="AB31" s="2434" t="str">
        <f>IF(TITLE_DATE_PR_CHANGE="",IF(TITLE_DATE_PR="","",TITLE_DATE_PR),TITLE_DATE_PR_CHANGE)</f>
        <v>45408.40866898148</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979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21" t="str">
        <f>IF(TITLE_NUMBER_PR_CHANGE="",IF(TITLE_NUMBER_PR="","",TITLE_NUMBER_PR),TITLE_NUMBER_PR_CHANGE)</f>
        <v>1005,1062</v>
      </c>
      <c r="W32" s="2421"/>
      <c r="X32" s="2421"/>
      <c r="Y32" s="2421"/>
      <c r="Z32" s="2421"/>
      <c r="AA32" s="496"/>
      <c r="AB32" s="2421" t="str">
        <f>IF(TITLE_NUMBER_PR_CHANGE="",IF(TITLE_NUMBER_PR="","",TITLE_NUMBER_PR),TITLE_NUMBER_PR_CHANGE)</f>
        <v>1005,1062</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979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9793" customFormat="1" customHeight="1" ht="18.75">
      <c r="A35" s="1538"/>
      <c r="B35" s="1538"/>
      <c r="C35" s="1538"/>
      <c r="D35" s="1538"/>
      <c r="E35" s="1538"/>
      <c r="F35" s="1538"/>
      <c r="G35" s="1538"/>
      <c r="H35" s="1538"/>
      <c r="I35" s="1538"/>
      <c r="J35" s="1538"/>
      <c r="K35" s="1538"/>
      <c r="L35" s="1539"/>
      <c r="M35" s="1538"/>
      <c r="N35" s="1538"/>
      <c r="O35" s="1538"/>
      <c r="P35" s="1538"/>
      <c r="Q35" s="1538"/>
      <c r="S35" s="2420" t="s">
        <v>424</v>
      </c>
      <c r="T35" s="2420"/>
      <c r="U35" s="1542"/>
      <c r="V35" s="2434" t="str">
        <f>IF(TITLE_DATE_PR_CHANGE="",IF(TITLE_DATE_PR="","",TITLE_DATE_PR),TITLE_DATE_PR_CHANGE)</f>
        <v>45408.40866898148</v>
      </c>
      <c r="W35" s="2434"/>
      <c r="X35" s="2434"/>
      <c r="Y35" s="2434"/>
      <c r="Z35" s="2434"/>
      <c r="AA35" s="496"/>
      <c r="AB35" s="2434" t="str">
        <f>IF(TITLE_DATE_PR_CHANGE="",IF(TITLE_DATE_PR="","",TITLE_DATE_PR),TITLE_DATE_PR_CHANGE)</f>
        <v>45408.40866898148</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9793" customFormat="1" customHeight="1" ht="18">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21" t="str">
        <f>IF(TITLE_NUMBER_PR_CHANGE="",IF(TITLE_NUMBER_PR="","",TITLE_NUMBER_PR),TITLE_NUMBER_PR_CHANGE)</f>
        <v>1005,1062</v>
      </c>
      <c r="W36" s="2421"/>
      <c r="X36" s="2421"/>
      <c r="Y36" s="2421"/>
      <c r="Z36" s="2421"/>
      <c r="AA36" s="496"/>
      <c r="AB36" s="2421" t="str">
        <f>IF(TITLE_NUMBER_PR_CHANGE="",IF(TITLE_NUMBER_PR="","",TITLE_NUMBER_PR),TITLE_NUMBER_PR_CHANGE)</f>
        <v>1005,1062</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9793"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428</v>
      </c>
      <c r="AB37" s="496"/>
      <c r="AC37" s="496"/>
      <c r="AD37" s="496"/>
      <c r="AE37" s="496"/>
      <c r="AF37" s="496"/>
      <c r="AG37" s="496"/>
      <c r="AH37" s="496"/>
      <c r="AI37" s="496"/>
      <c r="AJ37" s="496"/>
      <c r="AK37" s="496"/>
      <c r="AL37" s="496"/>
      <c r="AM37" s="496"/>
      <c r="AN37" s="496"/>
      <c r="AO37" s="496"/>
      <c r="AP37" s="496"/>
      <c r="AQ37" s="496"/>
      <c r="AR37" s="496"/>
      <c r="AS37" s="448" t="s">
        <v>428</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303</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304</v>
      </c>
      <c r="BA39" s="1325">
        <v>14</v>
      </c>
    </row>
    <row customHeight="1" ht="14.699999999999998">
      <c r="Q40" s="461"/>
      <c r="R40" s="546"/>
      <c r="S40" s="2443" t="s">
        <v>87</v>
      </c>
      <c r="T40" s="2379" t="s">
        <v>473</v>
      </c>
      <c r="U40" s="471"/>
      <c r="V40" s="2445"/>
      <c r="W40" s="2445"/>
      <c r="X40" s="2445"/>
      <c r="Y40" s="2445"/>
      <c r="Z40" s="2446"/>
      <c r="AA40" s="2506" t="s">
        <v>431</v>
      </c>
      <c r="AB40" s="2498" t="s">
        <v>474</v>
      </c>
      <c r="AC40" s="2461"/>
      <c r="AD40" s="2461"/>
      <c r="AE40" s="2499"/>
      <c r="AF40" s="2461" t="s">
        <v>475</v>
      </c>
      <c r="AG40" s="2461"/>
      <c r="AH40" s="2461"/>
      <c r="AI40" s="2499"/>
      <c r="AJ40" s="2498" t="s">
        <v>476</v>
      </c>
      <c r="AK40" s="2461"/>
      <c r="AL40" s="2461"/>
      <c r="AM40" s="2499"/>
      <c r="AN40" s="2498" t="s">
        <v>430</v>
      </c>
      <c r="AO40" s="2461"/>
      <c r="AP40" s="2445"/>
      <c r="AQ40" s="2445"/>
      <c r="AR40" s="2446"/>
      <c r="AS40" s="2447" t="s">
        <v>431</v>
      </c>
      <c r="AT40" s="2450" t="s">
        <v>433</v>
      </c>
      <c r="AU40" s="2297"/>
      <c r="BA40" s="1325">
        <v>14</v>
      </c>
    </row>
    <row customHeight="1" ht="35.699999999999996">
      <c r="Q41" s="461"/>
      <c r="R41" s="546"/>
      <c r="S41" s="2443"/>
      <c r="T41" s="2379"/>
      <c r="U41" s="1201"/>
      <c r="V41" s="2297" t="s">
        <v>477</v>
      </c>
      <c r="W41" s="2297"/>
      <c r="X41" s="2464" t="s">
        <v>437</v>
      </c>
      <c r="Y41" s="2483"/>
      <c r="Z41" s="2484"/>
      <c r="AA41" s="2507"/>
      <c r="AB41" s="2500"/>
      <c r="AC41" s="2501"/>
      <c r="AD41" s="2501"/>
      <c r="AE41" s="2502"/>
      <c r="AF41" s="2501"/>
      <c r="AG41" s="2501"/>
      <c r="AH41" s="2501"/>
      <c r="AI41" s="2502"/>
      <c r="AJ41" s="2500"/>
      <c r="AK41" s="2501"/>
      <c r="AL41" s="2501"/>
      <c r="AM41" s="2501"/>
      <c r="AN41" s="2297" t="s">
        <v>477</v>
      </c>
      <c r="AO41" s="2297"/>
      <c r="AP41" s="2483" t="s">
        <v>437</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134</v>
      </c>
      <c r="C43" s="1540" t="s">
        <v>135</v>
      </c>
      <c r="D43" s="1540" t="s">
        <v>136</v>
      </c>
      <c r="E43" s="1534" t="s">
        <v>438</v>
      </c>
      <c r="F43" s="1534" t="s">
        <v>439</v>
      </c>
      <c r="G43" s="1534" t="s">
        <v>440</v>
      </c>
      <c r="H43" s="1534" t="s">
        <v>441</v>
      </c>
      <c r="I43" s="1534" t="s">
        <v>442</v>
      </c>
      <c r="J43" s="1534" t="s">
        <v>443</v>
      </c>
      <c r="K43" s="1534" t="s">
        <v>444</v>
      </c>
      <c r="L43" s="1534" t="s">
        <v>419</v>
      </c>
      <c r="Q43" s="461"/>
      <c r="R43" s="546"/>
      <c r="S43" s="2443"/>
      <c r="T43" s="2379"/>
      <c r="U43" s="472"/>
      <c r="V43" s="1500" t="s">
        <v>478</v>
      </c>
      <c r="W43" s="1500" t="s">
        <v>479</v>
      </c>
      <c r="X43" s="1508" t="s">
        <v>447</v>
      </c>
      <c r="Y43" s="2440" t="s">
        <v>448</v>
      </c>
      <c r="Z43" s="2441"/>
      <c r="AA43" s="2508"/>
      <c r="AB43" s="2503"/>
      <c r="AC43" s="2504"/>
      <c r="AD43" s="2504"/>
      <c r="AE43" s="2505"/>
      <c r="AF43" s="2504"/>
      <c r="AG43" s="2504"/>
      <c r="AH43" s="2504"/>
      <c r="AI43" s="2505"/>
      <c r="AJ43" s="2503"/>
      <c r="AK43" s="2504"/>
      <c r="AL43" s="2504"/>
      <c r="AM43" s="2505"/>
      <c r="AN43" s="2030" t="s">
        <v>478</v>
      </c>
      <c r="AO43" s="2030" t="s">
        <v>479</v>
      </c>
      <c r="AP43" s="1508" t="s">
        <v>447</v>
      </c>
      <c r="AQ43" s="2440" t="s">
        <v>448</v>
      </c>
      <c r="AR43" s="2441"/>
      <c r="AS43" s="2449"/>
      <c r="AT43" s="2452"/>
      <c r="AU43" s="2297"/>
      <c r="BA43" s="1325">
        <v>14</v>
      </c>
    </row>
    <row s="10287"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108</v>
      </c>
      <c r="T44" s="1425" t="s">
        <v>109</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197</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122</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197</v>
      </c>
      <c r="B46" s="1533" t="s">
        <v>198</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400</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401</v>
      </c>
      <c r="AW46" s="670"/>
      <c r="AX46" s="670" t="str">
        <f>IF(T46="","",T46)</f>
        <v>Территория действия тарифа</v>
      </c>
      <c r="AY46" s="670"/>
      <c r="AZ46" s="670"/>
      <c r="BA46" s="1325">
        <v>21</v>
      </c>
    </row>
    <row customHeight="1" ht="24">
      <c r="A47" s="1533" t="s">
        <v>197</v>
      </c>
      <c r="B47" s="1533" t="s">
        <v>198</v>
      </c>
      <c r="C47" s="1533" t="s">
        <v>199</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402</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403</v>
      </c>
      <c r="AW47" s="670"/>
      <c r="AX47" s="670" t="str">
        <f>IF(T47="","",T47)</f>
        <v>Наименование системы теплоснабжения </v>
      </c>
      <c r="AY47" s="670"/>
      <c r="AZ47" s="670"/>
      <c r="BA47" s="1325">
        <v>23</v>
      </c>
    </row>
    <row customHeight="1" ht="21">
      <c r="A48" s="1533" t="s">
        <v>197</v>
      </c>
      <c r="B48" s="1533" t="s">
        <v>198</v>
      </c>
      <c r="C48" s="1533" t="s">
        <v>199</v>
      </c>
      <c r="D48" s="1533" t="s">
        <v>200</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404</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405</v>
      </c>
      <c r="AW48" s="670"/>
      <c r="AX48" s="670" t="str">
        <f>IF(T48="","",T48)</f>
        <v>Источник тепловой энергии  </v>
      </c>
      <c r="AY48" s="670"/>
      <c r="AZ48" s="670"/>
      <c r="BA48" s="1325">
        <v>20</v>
      </c>
    </row>
    <row s="9667" customFormat="1" customHeight="1" ht="1.05">
      <c r="A49" s="1513" t="s">
        <v>197</v>
      </c>
      <c r="B49" s="1513" t="s">
        <v>198</v>
      </c>
      <c r="C49" s="1513" t="s">
        <v>199</v>
      </c>
      <c r="D49" s="1513" t="s">
        <v>200</v>
      </c>
      <c r="E49" s="2429"/>
      <c r="F49" s="2429"/>
      <c r="G49" s="2429"/>
      <c r="H49" s="2429"/>
      <c r="I49" s="2426" t="str">
        <f>S48&amp;".1"</f>
        <v>....1</v>
      </c>
      <c r="J49" s="1513"/>
      <c r="K49" s="1513"/>
      <c r="L49" s="1516" t="s">
        <v>406</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9667" customFormat="1" customHeight="1" ht="1.05">
      <c r="A50" s="1513" t="s">
        <v>197</v>
      </c>
      <c r="B50" s="1513" t="s">
        <v>198</v>
      </c>
      <c r="C50" s="1513" t="s">
        <v>199</v>
      </c>
      <c r="D50" s="1513" t="s">
        <v>200</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197</v>
      </c>
      <c r="B51" s="1533" t="s">
        <v>198</v>
      </c>
      <c r="C51" s="1533" t="s">
        <v>199</v>
      </c>
      <c r="D51" s="1533" t="s">
        <v>200</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65</v>
      </c>
      <c r="Z51" s="1904"/>
      <c r="AA51" s="1629" t="s">
        <v>65</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65</v>
      </c>
      <c r="AR51" s="1904"/>
      <c r="AS51" s="1629" t="s">
        <v>65</v>
      </c>
      <c r="AT51" s="1518"/>
      <c r="AU51" s="2423" t="s">
        <v>480</v>
      </c>
      <c r="AV51" s="681">
        <f>STRCHECKDATE(V54:AT54)</f>
      </c>
      <c r="AW51" s="670"/>
      <c r="AX51" s="670" t="str">
        <f>IF(T51="","",T51)</f>
        <v/>
      </c>
      <c r="AY51" s="670"/>
      <c r="AZ51" s="670"/>
      <c r="BA51" s="1325">
        <v>21</v>
      </c>
    </row>
    <row customHeight="1" ht="11.549999999999999">
      <c r="A52" s="1533" t="s">
        <v>197</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465</v>
      </c>
      <c r="AN52" s="1563"/>
      <c r="AO52" s="1666"/>
      <c r="AP52" s="1563"/>
      <c r="AQ52" s="1563"/>
      <c r="AR52" s="1563"/>
      <c r="AS52" s="1563"/>
      <c r="AT52" s="1560"/>
      <c r="AU52" s="2424"/>
      <c r="AW52" s="670"/>
      <c r="AX52" s="670"/>
      <c r="AY52" s="670"/>
      <c r="AZ52" s="670"/>
      <c r="BA52" s="1325">
        <v>11</v>
      </c>
    </row>
    <row customHeight="1" ht="11.549999999999999">
      <c r="A53" s="1533" t="s">
        <v>197</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466</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197</v>
      </c>
      <c r="B54" s="1533" t="s">
        <v>198</v>
      </c>
      <c r="C54" s="1533" t="s">
        <v>199</v>
      </c>
      <c r="D54" s="1533" t="s">
        <v>200</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467</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197</v>
      </c>
      <c r="B55" s="1533" t="s">
        <v>198</v>
      </c>
      <c r="C55" s="1533" t="s">
        <v>199</v>
      </c>
      <c r="D55" s="1533" t="s">
        <v>200</v>
      </c>
      <c r="E55" s="2429"/>
      <c r="F55" s="2429"/>
      <c r="G55" s="2429"/>
      <c r="H55" s="2429"/>
      <c r="I55" s="2456"/>
      <c r="J55" s="2426"/>
      <c r="K55" s="1533"/>
      <c r="L55" s="1534"/>
      <c r="P55" s="2427"/>
      <c r="Q55" s="2427"/>
      <c r="R55" s="526"/>
      <c r="S55" s="1448"/>
      <c r="T55" s="457" t="s">
        <v>468</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9667" customFormat="1" customHeight="1" ht="1.05">
      <c r="A56" s="1513" t="s">
        <v>197</v>
      </c>
      <c r="B56" s="1513" t="s">
        <v>198</v>
      </c>
      <c r="C56" s="1513" t="s">
        <v>199</v>
      </c>
      <c r="D56" s="1513" t="s">
        <v>200</v>
      </c>
      <c r="E56" s="2429"/>
      <c r="F56" s="2429"/>
      <c r="G56" s="2429"/>
      <c r="H56" s="2429"/>
      <c r="I56" s="2426"/>
      <c r="J56" s="1513"/>
      <c r="K56" s="1513"/>
      <c r="L56" s="1516"/>
      <c r="M56" s="680"/>
      <c r="N56" s="680"/>
      <c r="O56" s="680"/>
      <c r="P56" s="2427"/>
      <c r="Q56" s="1501"/>
      <c r="R56" s="526"/>
      <c r="S56" s="1556"/>
      <c r="T56" s="1557" t="s">
        <v>415</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10287" customFormat="1" customHeight="1" ht="1.05">
      <c r="A57" s="1513" t="s">
        <v>197</v>
      </c>
      <c r="B57" s="1513" t="s">
        <v>198</v>
      </c>
      <c r="C57" s="1513" t="s">
        <v>199</v>
      </c>
      <c r="D57" s="1513" t="s">
        <v>200</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9667" customFormat="1" customHeight="1" ht="1.05">
      <c r="A58" s="1513" t="s">
        <v>197</v>
      </c>
      <c r="B58" s="1513" t="s">
        <v>198</v>
      </c>
      <c r="C58" s="1513" t="s">
        <v>199</v>
      </c>
      <c r="D58" s="1484"/>
      <c r="E58" s="2429"/>
      <c r="F58" s="2429"/>
      <c r="G58" s="2428"/>
      <c r="H58" s="1484"/>
      <c r="I58" s="1484"/>
      <c r="J58" s="1484"/>
      <c r="K58" s="1484"/>
      <c r="L58" s="1509"/>
      <c r="M58" s="1485"/>
      <c r="N58" s="1485"/>
      <c r="P58" s="1486"/>
      <c r="Q58" s="1487"/>
      <c r="R58" s="1486"/>
      <c r="S58" s="1492"/>
      <c r="T58" s="1495" t="s">
        <v>417</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9667" customFormat="1" customHeight="1" ht="1.05">
      <c r="A59" s="1513" t="s">
        <v>197</v>
      </c>
      <c r="B59" s="1513" t="s">
        <v>198</v>
      </c>
      <c r="C59" s="1484"/>
      <c r="D59" s="1484"/>
      <c r="E59" s="2429"/>
      <c r="F59" s="2428"/>
      <c r="G59" s="1484"/>
      <c r="H59" s="1484"/>
      <c r="I59" s="1484"/>
      <c r="J59" s="1484"/>
      <c r="K59" s="1484"/>
      <c r="L59" s="1509"/>
      <c r="M59" s="1491"/>
      <c r="N59" s="1491"/>
      <c r="P59" s="1486"/>
      <c r="Q59" s="1487"/>
      <c r="R59" s="1486"/>
      <c r="S59" s="1492"/>
      <c r="T59" s="1495" t="s">
        <v>228</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9667" customFormat="1" customHeight="1" ht="1.05">
      <c r="A60" s="1513" t="s">
        <v>197</v>
      </c>
      <c r="B60" s="1513"/>
      <c r="C60" s="1513"/>
      <c r="D60" s="1513"/>
      <c r="E60" s="2429"/>
      <c r="F60" s="1513"/>
      <c r="G60" s="1513"/>
      <c r="H60" s="1513"/>
      <c r="I60" s="1513"/>
      <c r="J60" s="1513"/>
      <c r="K60" s="1513"/>
      <c r="L60" s="1516"/>
      <c r="M60" s="1491"/>
      <c r="N60" s="1491"/>
      <c r="O60" s="688"/>
      <c r="P60" s="550"/>
      <c r="Q60" s="1514"/>
      <c r="R60" s="550"/>
      <c r="S60" s="1492"/>
      <c r="T60" s="1495" t="s">
        <v>229</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9667" customFormat="1" customHeight="1" ht="1.05">
      <c r="A61" s="1513" t="s">
        <v>197</v>
      </c>
      <c r="B61" s="1513"/>
      <c r="C61" s="1513"/>
      <c r="D61" s="1513"/>
      <c r="E61" s="2428"/>
      <c r="F61" s="1513"/>
      <c r="G61" s="1513"/>
      <c r="H61" s="1513"/>
      <c r="I61" s="1513"/>
      <c r="J61" s="1513"/>
      <c r="K61" s="1513"/>
      <c r="L61" s="1516"/>
      <c r="M61" s="1491"/>
      <c r="N61" s="1491"/>
      <c r="O61" s="688"/>
      <c r="P61" s="550"/>
      <c r="Q61" s="1514"/>
      <c r="R61" s="550"/>
      <c r="S61" s="1492"/>
      <c r="T61" s="1495" t="s">
        <v>229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9667"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230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81</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B6234-49AA-9777-4D3E-CB44F7FB0B8B}" mc:Ignorable="x14ac xr xr2 xr3">
  <sheetPr>
    <tabColor theme="6" tint="0.4"/>
  </sheetPr>
  <dimension ref="A1:AX58"/>
  <sheetViews>
    <sheetView topLeftCell="P23" showGridLines="0" zoomScale="90" workbookViewId="0" tabSelected="1">
      <selection activeCell="S41" sqref="S4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customWidth="1"/>
    <col min="37" max="37" style="10835" width="14.00390625" customWidth="1"/>
    <col min="38" max="38" style="10835" width="11.421875" customWidth="1"/>
    <col min="42" max="42" style="10835" width="10.57421875" hidden="1"/>
    <col min="43" max="43" style="9589" width="4.00390625" customWidth="1"/>
    <col min="44" max="44" style="9589" width="115.00390625" customWidth="1"/>
    <col min="45" max="49" style="9667" width="10.00390625" customWidth="1"/>
    <col min="50" max="50" style="9589" width="10.57421875" hidden="1"/>
  </cols>
  <sheetData>
    <row customHeight="1" ht="22.5" hidden="1">
      <c r="X1" s="497"/>
      <c r="Y1" s="497"/>
      <c r="AE1" s="497"/>
      <c r="AF1" s="497"/>
      <c r="AJ1" s="3973"/>
      <c r="AK1" s="3973"/>
      <c r="AL1" s="3973"/>
      <c r="AM1" s="3973"/>
      <c r="AN1" s="3973"/>
      <c r="AO1" s="3973"/>
      <c r="AP1" s="3973"/>
      <c r="AX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3975"/>
      <c r="AK2" s="3976"/>
      <c r="AL2" s="3976"/>
      <c r="AM2" s="3976"/>
      <c r="AN2" s="3976"/>
      <c r="AO2" s="3976"/>
      <c r="AP2" s="3977"/>
      <c r="AQ2" s="2414"/>
      <c r="AR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670"/>
      <c r="AU2" s="670" t="str">
        <f>IF(T2="","",T2)</f>
        <v>Наименование тарифа</v>
      </c>
      <c r="AV2" s="670"/>
      <c r="AW2" s="670"/>
      <c r="AX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3975"/>
      <c r="AK3" s="3976"/>
      <c r="AL3" s="3976"/>
      <c r="AM3" s="3976"/>
      <c r="AN3" s="3976"/>
      <c r="AO3" s="3976"/>
      <c r="AP3" s="3977"/>
      <c r="AQ3" s="2414"/>
      <c r="AR3" s="1428" t="s">
        <v>401</v>
      </c>
      <c r="AT3" s="670"/>
      <c r="AU3" s="670" t="str">
        <f>IF(T3="","",T3)</f>
        <v>Территория действия тарифа</v>
      </c>
      <c r="AV3" s="670"/>
      <c r="AW3" s="670"/>
      <c r="AX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3975"/>
      <c r="AK4" s="3976"/>
      <c r="AL4" s="3976"/>
      <c r="AM4" s="3976"/>
      <c r="AN4" s="3976"/>
      <c r="AO4" s="3976"/>
      <c r="AP4" s="3977"/>
      <c r="AQ4" s="2414"/>
      <c r="AR4" s="1428" t="s">
        <v>482</v>
      </c>
      <c r="AT4" s="670"/>
      <c r="AU4" s="670" t="str">
        <f>IF(T4="","",T4)</f>
        <v>Наименование централизованной системы холодного водоснабжения</v>
      </c>
      <c r="AV4" s="670"/>
      <c r="AW4" s="670"/>
      <c r="AX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483</v>
      </c>
      <c r="U5" s="470"/>
      <c r="V5" s="2520"/>
      <c r="W5" s="2521"/>
      <c r="X5" s="2521"/>
      <c r="Y5" s="2521"/>
      <c r="Z5" s="2521"/>
      <c r="AA5" s="2521"/>
      <c r="AB5" s="2522"/>
      <c r="AC5" s="2523"/>
      <c r="AD5" s="2524"/>
      <c r="AE5" s="2524"/>
      <c r="AF5" s="2524"/>
      <c r="AG5" s="2524"/>
      <c r="AH5" s="2524"/>
      <c r="AI5" s="2524"/>
      <c r="AJ5" s="3985"/>
      <c r="AK5" s="3986"/>
      <c r="AL5" s="3986"/>
      <c r="AM5" s="3986"/>
      <c r="AN5" s="3986"/>
      <c r="AO5" s="3986"/>
      <c r="AP5" s="3987"/>
      <c r="AQ5" s="2525"/>
      <c r="AR5" s="1428" t="s">
        <v>484</v>
      </c>
      <c r="AT5" s="670"/>
      <c r="AU5" s="670" t="str">
        <f>IF(T5="","",T5)</f>
        <v>Наименование признака дифференциации</v>
      </c>
      <c r="AV5" s="670"/>
      <c r="AW5" s="670"/>
      <c r="AX5" s="1325">
        <v>0</v>
      </c>
    </row>
    <row customHeight="1" ht="23.25" hidden="1">
      <c r="A6" s="1533"/>
      <c r="B6" s="1533"/>
      <c r="C6" s="1533"/>
      <c r="D6" s="1533"/>
      <c r="E6" s="2429"/>
      <c r="F6" s="2429"/>
      <c r="G6" s="2429"/>
      <c r="H6" s="2429"/>
      <c r="I6" s="2456"/>
      <c r="J6" s="2426">
        <f>I5&amp;".1"</f>
      </c>
      <c r="K6" s="1533"/>
      <c r="L6" s="1534" t="s">
        <v>409</v>
      </c>
      <c r="P6" s="2427"/>
      <c r="Q6" s="2427">
        <v>1</v>
      </c>
      <c r="R6" s="527"/>
      <c r="S6" s="1595">
        <f>$J6</f>
      </c>
      <c r="T6" s="456" t="s">
        <v>410</v>
      </c>
      <c r="U6" s="470"/>
      <c r="V6" s="2415"/>
      <c r="W6" s="2416"/>
      <c r="X6" s="2416"/>
      <c r="Y6" s="2416"/>
      <c r="Z6" s="2416"/>
      <c r="AA6" s="2416"/>
      <c r="AB6" s="2417"/>
      <c r="AC6" s="2415"/>
      <c r="AD6" s="2416"/>
      <c r="AE6" s="2416"/>
      <c r="AF6" s="2416"/>
      <c r="AG6" s="2416"/>
      <c r="AH6" s="2416"/>
      <c r="AI6" s="2416"/>
      <c r="AJ6" s="3989"/>
      <c r="AK6" s="3990"/>
      <c r="AL6" s="3990"/>
      <c r="AM6" s="3990"/>
      <c r="AN6" s="3990"/>
      <c r="AO6" s="3990"/>
      <c r="AP6" s="3991"/>
      <c r="AQ6" s="2417"/>
      <c r="AR6" s="1477" t="s">
        <v>485</v>
      </c>
      <c r="AT6" s="670"/>
      <c r="AU6" s="670" t="str">
        <f>IF(T6="","",T6)</f>
        <v>Группа потребителей</v>
      </c>
      <c r="AV6" s="670"/>
      <c r="AW6" s="670"/>
      <c r="AX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65</v>
      </c>
      <c r="AA7" s="2435"/>
      <c r="AB7" s="2277" t="s">
        <v>65</v>
      </c>
      <c r="AC7" s="921"/>
      <c r="AD7" s="921"/>
      <c r="AE7" s="1427"/>
      <c r="AF7" s="2435"/>
      <c r="AG7" s="2277" t="s">
        <v>65</v>
      </c>
      <c r="AH7" s="2457"/>
      <c r="AI7" s="2277" t="s">
        <v>65</v>
      </c>
      <c r="AJ7" s="3993"/>
      <c r="AK7" s="3993"/>
      <c r="AL7" s="3994"/>
      <c r="AM7" s="3995"/>
      <c r="AN7" s="3996" t="s">
        <v>65</v>
      </c>
      <c r="AO7" s="3995"/>
      <c r="AP7" s="3996" t="s">
        <v>65</v>
      </c>
      <c r="AQ7" s="1608"/>
      <c r="AR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1">
        <f>STRCHECKDATE(V8:AQ8)</f>
      </c>
      <c r="AT7" s="670"/>
      <c r="AU7" s="670" t="str">
        <f>IF(T7="","",T7)</f>
        <v/>
      </c>
      <c r="AV7" s="670"/>
      <c r="AW7" s="670"/>
      <c r="AX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4000"/>
      <c r="AK8" s="4000"/>
      <c r="AL8" s="4001" t="str">
        <f>AM7&amp;"-"&amp;AO7</f>
        <v>-</v>
      </c>
      <c r="AM8" s="4002"/>
      <c r="AN8" s="3996"/>
      <c r="AO8" s="4002"/>
      <c r="AP8" s="3996"/>
      <c r="AQ8" s="1609"/>
      <c r="AR8" s="2519"/>
      <c r="AT8" s="670"/>
      <c r="AU8" s="670" t="str">
        <f>IF(T8="","",T8)</f>
        <v/>
      </c>
      <c r="AV8" s="670"/>
      <c r="AW8" s="670"/>
      <c r="AX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4004"/>
      <c r="AK9" s="4005"/>
      <c r="AL9" s="4006"/>
      <c r="AM9" s="4007"/>
      <c r="AN9" s="4008"/>
      <c r="AO9" s="4009"/>
      <c r="AP9" s="4010"/>
      <c r="AQ9" s="537"/>
      <c r="AR9" s="1428" t="s">
        <v>487</v>
      </c>
      <c r="AT9" s="670"/>
      <c r="AU9" s="670" t="str">
        <f>IF(T9="","",T9)</f>
        <v>Добавить значение признака дифференциации</v>
      </c>
      <c r="AV9" s="670"/>
      <c r="AW9" s="670"/>
      <c r="AX9" s="1325">
        <v>0</v>
      </c>
    </row>
    <row customHeight="1" ht="21" hidden="1">
      <c r="A10" s="1533"/>
      <c r="B10" s="1533"/>
      <c r="C10" s="1533"/>
      <c r="D10" s="1533"/>
      <c r="E10" s="2429"/>
      <c r="F10" s="2429"/>
      <c r="G10" s="2429"/>
      <c r="H10" s="2429"/>
      <c r="I10" s="2426"/>
      <c r="J10" s="1533"/>
      <c r="K10" s="1533"/>
      <c r="L10" s="1534"/>
      <c r="P10" s="2427"/>
      <c r="Q10" s="1592"/>
      <c r="R10" s="526"/>
      <c r="S10" s="1448"/>
      <c r="T10" s="535" t="s">
        <v>415</v>
      </c>
      <c r="U10" s="537"/>
      <c r="V10" s="537"/>
      <c r="W10" s="537"/>
      <c r="X10" s="537"/>
      <c r="Y10" s="537"/>
      <c r="Z10" s="537"/>
      <c r="AA10" s="537"/>
      <c r="AB10" s="536"/>
      <c r="AC10" s="537"/>
      <c r="AD10" s="537"/>
      <c r="AE10" s="537"/>
      <c r="AF10" s="537"/>
      <c r="AG10" s="537"/>
      <c r="AH10" s="537"/>
      <c r="AI10" s="536"/>
      <c r="AJ10" s="4011"/>
      <c r="AK10" s="4012"/>
      <c r="AL10" s="4013"/>
      <c r="AM10" s="4014"/>
      <c r="AN10" s="4015"/>
      <c r="AO10" s="4016"/>
      <c r="AP10" s="4017"/>
      <c r="AQ10" s="537"/>
      <c r="AR10" s="1610"/>
      <c r="AT10" s="670"/>
      <c r="AU10" s="670" t="str">
        <f>IF(T10="","",T10)</f>
        <v>Добавить группу потребителей</v>
      </c>
      <c r="AV10" s="670"/>
      <c r="AW10" s="670"/>
      <c r="AX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4020"/>
      <c r="AK11" s="4021"/>
      <c r="AL11" s="4022"/>
      <c r="AM11" s="4023"/>
      <c r="AN11" s="4024"/>
      <c r="AO11" s="4025"/>
      <c r="AP11" s="4026"/>
      <c r="AQ11" s="537"/>
      <c r="AR11" s="473"/>
      <c r="AT11" s="670"/>
      <c r="AU11" s="670" t="str">
        <f>IF(T11="","",T11)</f>
        <v>Добавить наименование признака дифференциации</v>
      </c>
      <c r="AV11" s="670"/>
      <c r="AW11" s="670"/>
      <c r="AX11" s="1325">
        <v>0</v>
      </c>
    </row>
    <row s="9667"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4028"/>
      <c r="AK12" s="4028"/>
      <c r="AL12" s="4028"/>
      <c r="AM12" s="4028"/>
      <c r="AN12" s="4028"/>
      <c r="AO12" s="4028"/>
      <c r="AP12" s="4028"/>
      <c r="AQ12" s="1494"/>
      <c r="AR12" s="1494"/>
      <c r="AT12" s="959"/>
      <c r="AU12" s="959" t="str">
        <f>IF(T12="","",T12)</f>
        <v>Добавить централизованную систему для дифференциации</v>
      </c>
      <c r="AV12" s="959"/>
      <c r="AW12" s="959"/>
      <c r="AX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4028"/>
      <c r="AK13" s="4028"/>
      <c r="AL13" s="4028"/>
      <c r="AM13" s="4028"/>
      <c r="AN13" s="4028"/>
      <c r="AO13" s="4028"/>
      <c r="AP13" s="4028"/>
      <c r="AQ13" s="1494"/>
      <c r="AR13" s="1494"/>
      <c r="AT13" s="670"/>
      <c r="AU13" s="670" t="str">
        <f>IF(T13="","",T13)</f>
        <v>Добавить территорию для дифференциации</v>
      </c>
      <c r="AV13" s="670"/>
      <c r="AW13" s="670"/>
      <c r="AX13" s="681">
        <v>0</v>
      </c>
    </row>
    <row customHeight="1" ht="14.25" hidden="1">
      <c r="AB14" s="497"/>
      <c r="AI14" s="497"/>
      <c r="AJ14" s="3973"/>
      <c r="AK14" s="3973"/>
      <c r="AL14" s="3973"/>
      <c r="AM14" s="3973"/>
      <c r="AN14" s="3973"/>
      <c r="AO14" s="3973"/>
      <c r="AP14" s="3973"/>
      <c r="AX14" s="1325">
        <v>0</v>
      </c>
    </row>
    <row customHeight="1" ht="14.25" hidden="1">
      <c r="AC15" s="1530"/>
      <c r="AD15" s="1530"/>
      <c r="AE15" s="1531"/>
      <c r="AF15" s="2437"/>
      <c r="AG15" s="2438" t="s">
        <v>65</v>
      </c>
      <c r="AH15" s="2437"/>
      <c r="AI15" s="2438" t="s">
        <v>65</v>
      </c>
      <c r="AJ15" s="3973"/>
      <c r="AK15" s="3973"/>
      <c r="AL15" s="3973"/>
      <c r="AM15" s="3973"/>
      <c r="AN15" s="3973"/>
      <c r="AO15" s="3973"/>
      <c r="AP15" s="3973"/>
      <c r="AX15" s="1325">
        <v>0</v>
      </c>
    </row>
    <row customHeight="1" ht="14.25" hidden="1">
      <c r="AC16" s="1530"/>
      <c r="AD16" s="1530"/>
      <c r="AE16" s="498" t="str">
        <f>AF15&amp;"-"&amp;AH15</f>
        <v>-</v>
      </c>
      <c r="AF16" s="2438"/>
      <c r="AG16" s="2438"/>
      <c r="AH16" s="2438"/>
      <c r="AI16" s="2438"/>
      <c r="AJ16" s="3973"/>
      <c r="AK16" s="3973"/>
      <c r="AL16" s="3973"/>
      <c r="AM16" s="3973"/>
      <c r="AN16" s="3973"/>
      <c r="AO16" s="3973"/>
      <c r="AP16" s="3973"/>
      <c r="AX16" s="1325">
        <v>0</v>
      </c>
    </row>
    <row customHeight="1" ht="14.25" hidden="1">
      <c r="AI17" s="497"/>
      <c r="AJ17" s="3973"/>
      <c r="AK17" s="3973"/>
      <c r="AL17" s="3973"/>
      <c r="AM17" s="3973"/>
      <c r="AN17" s="3973"/>
      <c r="AO17" s="3973"/>
      <c r="AP17" s="3973"/>
      <c r="AX17" s="1325">
        <v>0</v>
      </c>
    </row>
    <row s="9666" customFormat="1" customHeight="1" ht="22.5" hidden="1">
      <c r="L18" s="1591"/>
      <c r="M18" s="1532"/>
      <c r="N18" s="1532"/>
      <c r="O18" s="1537" t="s">
        <v>418</v>
      </c>
      <c r="P18" s="1532"/>
      <c r="Q18" s="1541"/>
      <c r="R18" s="1541"/>
      <c r="S18" s="899"/>
      <c r="Y18" s="1537"/>
      <c r="AA18" s="1537"/>
      <c r="AB18" s="1536"/>
      <c r="AF18" s="1537"/>
      <c r="AH18" s="1537"/>
      <c r="AI18" s="1536"/>
      <c r="AJ18" s="4030"/>
      <c r="AK18" s="4030"/>
      <c r="AL18" s="4030"/>
      <c r="AM18" s="4031"/>
      <c r="AN18" s="4030"/>
      <c r="AO18" s="4031"/>
      <c r="AP18" s="4030"/>
      <c r="AS18" s="681"/>
      <c r="AT18" s="681"/>
      <c r="AU18" s="681"/>
      <c r="AV18" s="681"/>
      <c r="AW18" s="681"/>
      <c r="AX18" s="1330">
        <v>0</v>
      </c>
    </row>
    <row s="9666" customFormat="1" customHeight="1" ht="14.25" hidden="1">
      <c r="L19" s="1591"/>
      <c r="M19" s="1532"/>
      <c r="N19" s="1532"/>
      <c r="O19" s="1532"/>
      <c r="P19" s="1532"/>
      <c r="Q19" s="1541"/>
      <c r="R19" s="1541"/>
      <c r="S19" s="899"/>
      <c r="AB19" s="1536"/>
      <c r="AI19" s="1536"/>
      <c r="AJ19" s="4030"/>
      <c r="AK19" s="4030"/>
      <c r="AL19" s="4030"/>
      <c r="AM19" s="4030"/>
      <c r="AN19" s="4030"/>
      <c r="AO19" s="4030"/>
      <c r="AP19" s="4030"/>
      <c r="AS19" s="681"/>
      <c r="AT19" s="681"/>
      <c r="AU19" s="681"/>
      <c r="AV19" s="681"/>
      <c r="AW19" s="681"/>
      <c r="AX19" s="1330">
        <v>0</v>
      </c>
    </row>
    <row s="9666" customFormat="1" customHeight="1" ht="12" hidden="1">
      <c r="L20" s="1591"/>
      <c r="M20" s="1532"/>
      <c r="N20" s="1532"/>
      <c r="O20" s="1534" t="s">
        <v>419</v>
      </c>
      <c r="P20" s="1532"/>
      <c r="Q20" s="1612"/>
      <c r="R20" s="1612"/>
      <c r="S20" s="899"/>
      <c r="T20" s="1330" t="s">
        <v>420</v>
      </c>
      <c r="Z20" s="356" t="s">
        <v>421</v>
      </c>
      <c r="AB20" s="356" t="s">
        <v>422</v>
      </c>
      <c r="AC20" s="1330" t="s">
        <v>420</v>
      </c>
      <c r="AG20" s="356" t="s">
        <v>423</v>
      </c>
      <c r="AI20" s="356" t="s">
        <v>422</v>
      </c>
      <c r="AJ20" s="4030"/>
      <c r="AK20" s="4030"/>
      <c r="AL20" s="4030"/>
      <c r="AM20" s="4030"/>
      <c r="AN20" s="4033" t="s">
        <v>421</v>
      </c>
      <c r="AO20" s="4030"/>
      <c r="AP20" s="4033" t="s">
        <v>422</v>
      </c>
      <c r="AX20" s="1330">
        <v>0</v>
      </c>
    </row>
    <row customHeight="1" ht="14.25" hidden="1">
      <c r="O21" s="1534"/>
      <c r="AJ21" s="3973"/>
      <c r="AK21" s="3973"/>
      <c r="AL21" s="3973"/>
      <c r="AM21" s="3973"/>
      <c r="AN21" s="3973"/>
      <c r="AO21" s="3973"/>
      <c r="AP21" s="3973"/>
      <c r="AX21" s="1325">
        <v>0</v>
      </c>
    </row>
    <row customHeight="1" ht="14.25" hidden="1">
      <c r="O22" s="1534"/>
      <c r="AJ22" s="3973"/>
      <c r="AK22" s="3973"/>
      <c r="AL22" s="3973"/>
      <c r="AM22" s="3973"/>
      <c r="AN22" s="3973"/>
      <c r="AO22" s="3973"/>
      <c r="AP22" s="3973"/>
      <c r="AX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J23" s="3973"/>
      <c r="AK23" s="3973"/>
      <c r="AL23" s="3973"/>
      <c r="AM23" s="3973"/>
      <c r="AN23" s="3973"/>
      <c r="AO23" s="3973"/>
      <c r="AP23" s="3973"/>
      <c r="AX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J24" s="4034"/>
      <c r="AK24" s="4034"/>
      <c r="AL24" s="4034"/>
      <c r="AM24" s="4034"/>
      <c r="AN24" s="4034"/>
      <c r="AO24" s="4034"/>
      <c r="AP24" s="4034"/>
      <c r="AX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J25" s="4035"/>
      <c r="AK25" s="4035"/>
      <c r="AL25" s="4035"/>
      <c r="AM25" s="4035"/>
      <c r="AN25" s="4035"/>
      <c r="AO25" s="4035"/>
      <c r="AP25" s="4035"/>
      <c r="AX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036"/>
      <c r="AK26" s="4036"/>
      <c r="AL26" s="4036"/>
      <c r="AM26" s="4036"/>
      <c r="AN26" s="4036"/>
      <c r="AO26" s="4036"/>
      <c r="AP26" s="4036"/>
      <c r="AQ26" s="679"/>
      <c r="AX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037" t="str">
        <f>IF(TITLE_NAME_OR_PR_CHANGE="",IF(TITLE_NAME_OR_PR="","",TITLE_NAME_OR_PR),TITLE_NAME_OR_PR_CHANGE)</f>
        <v/>
      </c>
      <c r="AK27" s="4037"/>
      <c r="AL27" s="4037"/>
      <c r="AM27" s="4037"/>
      <c r="AN27" s="4037"/>
      <c r="AO27" s="4037"/>
      <c r="AP27" s="3973"/>
      <c r="AQ27" s="496"/>
      <c r="AR27" s="450"/>
      <c r="AS27" s="538"/>
      <c r="AT27" s="538"/>
      <c r="AU27" s="538"/>
      <c r="AV27" s="538"/>
      <c r="AW27" s="538"/>
      <c r="AX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038" t="str">
        <f>IF(TITLE_DATE_PR_CHANGE="",IF(TITLE_DATE_PR="","",TITLE_DATE_PR),TITLE_DATE_PR_CHANGE)</f>
        <v>45408.40866898148</v>
      </c>
      <c r="AK28" s="4038"/>
      <c r="AL28" s="4038"/>
      <c r="AM28" s="4038"/>
      <c r="AN28" s="4038"/>
      <c r="AO28" s="4038"/>
      <c r="AP28" s="3973"/>
      <c r="AQ28" s="496"/>
      <c r="AR28" s="450"/>
      <c r="AS28" s="538"/>
      <c r="AT28" s="538"/>
      <c r="AU28" s="538"/>
      <c r="AV28" s="538"/>
      <c r="AW28" s="538"/>
      <c r="AX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037" t="str">
        <f>IF(TITLE_NUMBER_PR_CHANGE="",IF(TITLE_NUMBER_PR="","",TITLE_NUMBER_PR),TITLE_NUMBER_PR_CHANGE)</f>
        <v>1005,1062</v>
      </c>
      <c r="AK29" s="4037"/>
      <c r="AL29" s="4037"/>
      <c r="AM29" s="4037"/>
      <c r="AN29" s="4037"/>
      <c r="AO29" s="4037"/>
      <c r="AP29" s="3973"/>
      <c r="AQ29" s="496"/>
      <c r="AR29" s="450"/>
      <c r="AS29" s="538"/>
      <c r="AT29" s="538"/>
      <c r="AU29" s="538"/>
      <c r="AV29" s="538"/>
      <c r="AW29" s="538"/>
      <c r="AX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037" t="str">
        <f>IF(TITLE_IST_PUB_CHANGE="",IF(TITLE_IST_PUB="","",TITLE_IST_PUB),TITLE_IST_PUB_CHANGE)</f>
        <v/>
      </c>
      <c r="AK30" s="4037"/>
      <c r="AL30" s="4037"/>
      <c r="AM30" s="4037"/>
      <c r="AN30" s="4037"/>
      <c r="AO30" s="4037"/>
      <c r="AP30" s="3973"/>
      <c r="AQ30" s="496"/>
      <c r="AR30" s="450"/>
      <c r="AS30" s="538"/>
      <c r="AT30" s="538"/>
      <c r="AU30" s="538"/>
      <c r="AV30" s="538"/>
      <c r="AW30" s="538"/>
      <c r="AX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036"/>
      <c r="AK31" s="4036"/>
      <c r="AL31" s="4036"/>
      <c r="AM31" s="4036"/>
      <c r="AN31" s="4036"/>
      <c r="AO31" s="4036"/>
      <c r="AP31" s="4036"/>
      <c r="AQ31" s="679"/>
      <c r="AX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038" t="str">
        <f>IF(TITLE_DATE_PR_CHANGE="",IF(TITLE_DATE_PR="","",TITLE_DATE_PR),TITLE_DATE_PR_CHANGE)</f>
        <v>45408.40866898148</v>
      </c>
      <c r="AK32" s="4038"/>
      <c r="AL32" s="4038"/>
      <c r="AM32" s="4038"/>
      <c r="AN32" s="4038"/>
      <c r="AO32" s="4038"/>
      <c r="AP32" s="3973"/>
      <c r="AQ32" s="496"/>
      <c r="AR32" s="450"/>
      <c r="AS32" s="538"/>
      <c r="AT32" s="538"/>
      <c r="AU32" s="538"/>
      <c r="AV32" s="538"/>
      <c r="AW32" s="538"/>
      <c r="AX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037" t="str">
        <f>IF(TITLE_NUMBER_PR_CHANGE="",IF(TITLE_NUMBER_PR="","",TITLE_NUMBER_PR),TITLE_NUMBER_PR_CHANGE)</f>
        <v>1005,1062</v>
      </c>
      <c r="AK33" s="4037"/>
      <c r="AL33" s="4037"/>
      <c r="AM33" s="4037"/>
      <c r="AN33" s="4037"/>
      <c r="AO33" s="4037"/>
      <c r="AP33" s="3973"/>
      <c r="AQ33" s="496"/>
      <c r="AR33" s="450"/>
      <c r="AS33" s="538"/>
      <c r="AT33" s="538"/>
      <c r="AU33" s="538"/>
      <c r="AV33" s="538"/>
      <c r="AW33" s="538"/>
      <c r="AX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428</v>
      </c>
      <c r="AC34" s="496"/>
      <c r="AD34" s="496"/>
      <c r="AE34" s="496"/>
      <c r="AF34" s="496"/>
      <c r="AG34" s="496"/>
      <c r="AH34" s="496"/>
      <c r="AI34" s="448" t="s">
        <v>428</v>
      </c>
      <c r="AJ34" s="3973"/>
      <c r="AK34" s="3973"/>
      <c r="AL34" s="3973"/>
      <c r="AM34" s="3973"/>
      <c r="AN34" s="3973"/>
      <c r="AO34" s="3973"/>
      <c r="AP34" s="4040" t="s">
        <v>428</v>
      </c>
      <c r="AS34" s="538"/>
      <c r="AT34" s="538"/>
      <c r="AU34" s="538"/>
      <c r="AV34" s="538"/>
      <c r="AW34" s="538"/>
      <c r="AX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4041" t="s">
        <v>489</v>
      </c>
      <c r="AK35" s="4041"/>
      <c r="AL35" s="4041"/>
      <c r="AM35" s="4041"/>
      <c r="AN35" s="4041"/>
      <c r="AO35" s="4041"/>
      <c r="AP35" s="4041"/>
      <c r="AX35" s="1325">
        <v>14</v>
      </c>
    </row>
    <row customHeight="1" ht="15">
      <c r="Q36" s="546"/>
      <c r="R36" s="546"/>
      <c r="S36" s="2297" t="s">
        <v>303</v>
      </c>
      <c r="T36" s="2297"/>
      <c r="U36" s="2297"/>
      <c r="V36" s="2297"/>
      <c r="W36" s="2297"/>
      <c r="X36" s="2297"/>
      <c r="Y36" s="2297"/>
      <c r="Z36" s="2297"/>
      <c r="AA36" s="2297"/>
      <c r="AB36" s="2297"/>
      <c r="AC36" s="2297"/>
      <c r="AD36" s="2297"/>
      <c r="AE36" s="2297"/>
      <c r="AF36" s="2297"/>
      <c r="AG36" s="2297"/>
      <c r="AH36" s="2297"/>
      <c r="AI36" s="2297"/>
      <c r="AJ36" s="4042" t="s">
        <v>303</v>
      </c>
      <c r="AK36" s="4042"/>
      <c r="AL36" s="4042"/>
      <c r="AM36" s="4042"/>
      <c r="AN36" s="4042"/>
      <c r="AO36" s="4042"/>
      <c r="AP36" s="4042"/>
      <c r="AQ36" s="2297"/>
      <c r="AR36" s="2297"/>
      <c r="AX36" s="1325"/>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4043" t="s">
        <v>430</v>
      </c>
      <c r="AK37" s="4044"/>
      <c r="AL37" s="4044"/>
      <c r="AM37" s="4044"/>
      <c r="AN37" s="4044"/>
      <c r="AO37" s="4045"/>
      <c r="AP37" s="4046" t="s">
        <v>431</v>
      </c>
      <c r="AQ37" s="2450" t="s">
        <v>433</v>
      </c>
      <c r="AR37" s="2297"/>
      <c r="AX37" s="1325">
        <v>14</v>
      </c>
    </row>
    <row customHeight="1" ht="35.699999999999996">
      <c r="Q38" s="546"/>
      <c r="R38" s="546"/>
      <c r="S38" s="2443"/>
      <c r="T38" s="2379"/>
      <c r="U38" s="1201"/>
      <c r="V38" s="1522" t="s">
        <v>490</v>
      </c>
      <c r="W38" s="2432" t="s">
        <v>436</v>
      </c>
      <c r="X38" s="2433"/>
      <c r="Y38" s="2432" t="s">
        <v>437</v>
      </c>
      <c r="Z38" s="2439"/>
      <c r="AA38" s="2433"/>
      <c r="AB38" s="2448"/>
      <c r="AC38" s="1522" t="s">
        <v>490</v>
      </c>
      <c r="AD38" s="2432" t="s">
        <v>436</v>
      </c>
      <c r="AE38" s="2433"/>
      <c r="AF38" s="2432" t="s">
        <v>437</v>
      </c>
      <c r="AG38" s="2439"/>
      <c r="AH38" s="2433"/>
      <c r="AI38" s="2448"/>
      <c r="AJ38" s="4048" t="s">
        <v>490</v>
      </c>
      <c r="AK38" s="4049" t="s">
        <v>436</v>
      </c>
      <c r="AL38" s="4050"/>
      <c r="AM38" s="4049" t="s">
        <v>437</v>
      </c>
      <c r="AN38" s="4051"/>
      <c r="AO38" s="4050"/>
      <c r="AP38" s="4052"/>
      <c r="AQ38" s="2451"/>
      <c r="AR38" s="2297"/>
      <c r="AX38" s="1325">
        <v>34</v>
      </c>
    </row>
    <row customHeight="1" ht="35.699999999999996">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522" t="s">
        <v>493</v>
      </c>
      <c r="W39" s="1392" t="s">
        <v>494</v>
      </c>
      <c r="X39" s="1392" t="s">
        <v>495</v>
      </c>
      <c r="Y39" s="1527" t="s">
        <v>447</v>
      </c>
      <c r="Z39" s="2440" t="s">
        <v>448</v>
      </c>
      <c r="AA39" s="2441"/>
      <c r="AB39" s="2449"/>
      <c r="AC39" s="1522" t="s">
        <v>493</v>
      </c>
      <c r="AD39" s="1392" t="s">
        <v>494</v>
      </c>
      <c r="AE39" s="1392" t="s">
        <v>495</v>
      </c>
      <c r="AF39" s="1527" t="s">
        <v>447</v>
      </c>
      <c r="AG39" s="2440" t="s">
        <v>448</v>
      </c>
      <c r="AH39" s="2441"/>
      <c r="AI39" s="2449"/>
      <c r="AJ39" s="4048" t="s">
        <v>493</v>
      </c>
      <c r="AK39" s="4054" t="s">
        <v>494</v>
      </c>
      <c r="AL39" s="4054" t="s">
        <v>495</v>
      </c>
      <c r="AM39" s="4054" t="s">
        <v>447</v>
      </c>
      <c r="AN39" s="4055" t="s">
        <v>448</v>
      </c>
      <c r="AO39" s="4056"/>
      <c r="AP39" s="4057"/>
      <c r="AQ39" s="2452"/>
      <c r="AR39" s="2297"/>
      <c r="AX39" s="1325">
        <v>34</v>
      </c>
    </row>
    <row s="10287"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4059">
        <f>OFFSET(AJ40,0,-1)+1</f>
        <v>15</v>
      </c>
      <c r="AK40" s="4059">
        <f>OFFSET(AK40,0,-1)+1</f>
        <v>16</v>
      </c>
      <c r="AL40" s="4059">
        <f>OFFSET(AL40,0,-1)+1</f>
        <v>17</v>
      </c>
      <c r="AM40" s="4059">
        <f>OFFSET(AM40,0,-1)+1</f>
        <v>18</v>
      </c>
      <c r="AN40" s="4059">
        <f>OFFSET(AN40,0,-1)+1</f>
        <v>19</v>
      </c>
      <c r="AO40" s="4059"/>
      <c r="AP40" s="4059">
        <f>OFFSET(AP40,0,-2)+1</f>
        <v>20</v>
      </c>
      <c r="AQ40" s="1415">
        <f>OFFSET(AQ40,0,-1)</f>
        <v>20</v>
      </c>
      <c r="AR40" s="1523">
        <f>OFFSET(AR40,0,-1)+1</f>
        <v>21</v>
      </c>
      <c r="AS40" s="681"/>
      <c r="AT40" s="681"/>
      <c r="AU40" s="681"/>
      <c r="AV40" s="681"/>
      <c r="AW40" s="681"/>
      <c r="AX40" s="666">
        <v>0</v>
      </c>
    </row>
    <row customHeight="1" ht="24">
      <c r="A41" s="1533" t="s">
        <v>225</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1</v>
      </c>
      <c r="T41" s="468" t="s">
        <v>122</v>
      </c>
      <c r="U41" s="470"/>
      <c r="V41" s="2412"/>
      <c r="W41" s="2413"/>
      <c r="X41" s="2413"/>
      <c r="Y41" s="2413"/>
      <c r="Z41" s="2413"/>
      <c r="AA41" s="2413"/>
      <c r="AB41" s="2414"/>
      <c r="AC41" s="2412" t="str">
        <f>INDEX(PT_DIFFERENTIATION_NTAR,MATCH(A41,PT_DIFFERENTIATION_NTAR_ID,0))</f>
        <v>Холодное водоснабжение. Питьевая вода</v>
      </c>
      <c r="AD41" s="2413"/>
      <c r="AE41" s="2413"/>
      <c r="AF41" s="2413"/>
      <c r="AG41" s="2413"/>
      <c r="AH41" s="2413"/>
      <c r="AI41" s="2413"/>
      <c r="AJ41" s="3975"/>
      <c r="AK41" s="3976"/>
      <c r="AL41" s="3976"/>
      <c r="AM41" s="3976"/>
      <c r="AN41" s="3976"/>
      <c r="AO41" s="3976"/>
      <c r="AP41" s="3977"/>
      <c r="AQ41" s="2414"/>
      <c r="AR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670"/>
      <c r="AU41" s="670" t="str">
        <f>IF(T41="","",T41)</f>
        <v>Наименование тарифа</v>
      </c>
      <c r="AV41" s="670"/>
      <c r="AW41" s="670"/>
      <c r="AX41" s="1325">
        <v>23</v>
      </c>
    </row>
    <row customHeight="1" ht="24">
      <c r="A42" s="1533" t="s">
        <v>225</v>
      </c>
      <c r="B42" s="1533" t="s">
        <v>226</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1.1</v>
      </c>
      <c r="T42" s="478" t="s">
        <v>400</v>
      </c>
      <c r="U42" s="470"/>
      <c r="V42" s="2412"/>
      <c r="W42" s="2413"/>
      <c r="X42" s="2413"/>
      <c r="Y42" s="2413"/>
      <c r="Z42" s="2413"/>
      <c r="AA42" s="2413"/>
      <c r="AB42" s="2414"/>
      <c r="AC42" s="2412" t="str">
        <f>INDEX(PT_DIFFERENTIATION_TER,MATCH(B42,PT_DIFFERENTIATION_TER_ID,0))</f>
        <v>Территория 1</v>
      </c>
      <c r="AD42" s="2413"/>
      <c r="AE42" s="2413"/>
      <c r="AF42" s="2413"/>
      <c r="AG42" s="2413"/>
      <c r="AH42" s="2413"/>
      <c r="AI42" s="2413"/>
      <c r="AJ42" s="3975"/>
      <c r="AK42" s="3976"/>
      <c r="AL42" s="3976"/>
      <c r="AM42" s="3976"/>
      <c r="AN42" s="3976"/>
      <c r="AO42" s="3976"/>
      <c r="AP42" s="3977"/>
      <c r="AQ42" s="2414"/>
      <c r="AR42" s="1428" t="s">
        <v>401</v>
      </c>
      <c r="AT42" s="670"/>
      <c r="AU42" s="670" t="str">
        <f>IF(T42="","",T42)</f>
        <v>Территория действия тарифа</v>
      </c>
      <c r="AV42" s="670"/>
      <c r="AW42" s="670"/>
      <c r="AX42" s="1325">
        <v>23</v>
      </c>
    </row>
    <row customHeight="1" ht="24">
      <c r="A43" s="1533" t="s">
        <v>225</v>
      </c>
      <c r="B43" s="1533" t="s">
        <v>226</v>
      </c>
      <c r="C43" s="1533" t="s">
        <v>227</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1.1.1</v>
      </c>
      <c r="T43" s="479" t="s">
        <v>481</v>
      </c>
      <c r="U43" s="470"/>
      <c r="V43" s="2412"/>
      <c r="W43" s="2413"/>
      <c r="X43" s="2413"/>
      <c r="Y43" s="2413"/>
      <c r="Z43" s="2413"/>
      <c r="AA43" s="2413"/>
      <c r="AB43" s="2414"/>
      <c r="AC43" s="2412" t="str">
        <f>INDEX(PT_DIFFERENTIATION_CS,MATCH(C43,PT_DIFFERENTIATION_CS_ID,0))</f>
        <v>без дифференциации</v>
      </c>
      <c r="AD43" s="2413"/>
      <c r="AE43" s="2413"/>
      <c r="AF43" s="2413"/>
      <c r="AG43" s="2413"/>
      <c r="AH43" s="2413"/>
      <c r="AI43" s="2413"/>
      <c r="AJ43" s="3975"/>
      <c r="AK43" s="3976"/>
      <c r="AL43" s="3976"/>
      <c r="AM43" s="3976"/>
      <c r="AN43" s="3976"/>
      <c r="AO43" s="3976"/>
      <c r="AP43" s="3977"/>
      <c r="AQ43" s="2414"/>
      <c r="AR43" s="1428" t="s">
        <v>482</v>
      </c>
      <c r="AT43" s="670"/>
      <c r="AU43" s="670" t="str">
        <f>IF(T43="","",T43)</f>
        <v>Наименование централизованной системы холодного водоснабжения</v>
      </c>
      <c r="AV43" s="670"/>
      <c r="AW43" s="670"/>
      <c r="AX43" s="1325">
        <v>23</v>
      </c>
    </row>
    <row customHeight="1" ht="24">
      <c r="A44" s="1533" t="s">
        <v>225</v>
      </c>
      <c r="B44" s="1533" t="s">
        <v>226</v>
      </c>
      <c r="C44" s="1533" t="s">
        <v>227</v>
      </c>
      <c r="D44" s="1533" t="s">
        <v>496</v>
      </c>
      <c r="E44" s="2429"/>
      <c r="F44" s="2429"/>
      <c r="G44" s="2429"/>
      <c r="H44" s="2429"/>
      <c r="I44" s="2426" t="str">
        <f>S43&amp;".1"</f>
        <v>1.1.1.1</v>
      </c>
      <c r="J44" s="1533"/>
      <c r="K44" s="1533"/>
      <c r="L44" s="1534"/>
      <c r="P44" s="2427">
        <v>1</v>
      </c>
      <c r="Q44" s="1524"/>
      <c r="R44" s="526"/>
      <c r="S44" s="1528" t="str">
        <f>$I44</f>
        <v>1.1.1.1</v>
      </c>
      <c r="T44" s="455" t="s">
        <v>483</v>
      </c>
      <c r="U44" s="470"/>
      <c r="V44" s="2520"/>
      <c r="W44" s="2521"/>
      <c r="X44" s="2521"/>
      <c r="Y44" s="2521"/>
      <c r="Z44" s="2521"/>
      <c r="AA44" s="2521"/>
      <c r="AB44" s="2522"/>
      <c r="AC44" s="2523"/>
      <c r="AD44" s="2524"/>
      <c r="AE44" s="2524"/>
      <c r="AF44" s="2524"/>
      <c r="AG44" s="2524"/>
      <c r="AH44" s="2524"/>
      <c r="AI44" s="2524"/>
      <c r="AJ44" s="3985"/>
      <c r="AK44" s="3986"/>
      <c r="AL44" s="3986"/>
      <c r="AM44" s="3986"/>
      <c r="AN44" s="3986"/>
      <c r="AO44" s="3986"/>
      <c r="AP44" s="3987"/>
      <c r="AQ44" s="2525"/>
      <c r="AR44" s="1428" t="s">
        <v>484</v>
      </c>
      <c r="AT44" s="670"/>
      <c r="AU44" s="670" t="str">
        <f>IF(T44="","",T44)</f>
        <v>Наименование признака дифференциации</v>
      </c>
      <c r="AV44" s="670"/>
      <c r="AW44" s="670"/>
      <c r="AX44" s="1325">
        <v>23</v>
      </c>
    </row>
    <row customHeight="1" ht="24">
      <c r="A45" s="1533" t="s">
        <v>225</v>
      </c>
      <c r="B45" s="1533" t="s">
        <v>226</v>
      </c>
      <c r="C45" s="1533" t="s">
        <v>227</v>
      </c>
      <c r="D45" s="1533" t="s">
        <v>496</v>
      </c>
      <c r="E45" s="2429"/>
      <c r="F45" s="2429"/>
      <c r="G45" s="2429"/>
      <c r="H45" s="2429"/>
      <c r="I45" s="2456"/>
      <c r="J45" s="2426" t="str">
        <f>I44&amp;".1"</f>
        <v>1.1.1.1.1</v>
      </c>
      <c r="K45" s="1533"/>
      <c r="L45" s="1534" t="s">
        <v>409</v>
      </c>
      <c r="P45" s="2427"/>
      <c r="Q45" s="2427">
        <v>1</v>
      </c>
      <c r="R45" s="527"/>
      <c r="S45" s="1528" t="str">
        <f>$J45</f>
        <v>1.1.1.1.1</v>
      </c>
      <c r="T45" s="456" t="s">
        <v>410</v>
      </c>
      <c r="U45" s="470"/>
      <c r="V45" s="2415"/>
      <c r="W45" s="2416"/>
      <c r="X45" s="2416"/>
      <c r="Y45" s="2416"/>
      <c r="Z45" s="2416"/>
      <c r="AA45" s="2416"/>
      <c r="AB45" s="2417"/>
      <c r="AC45" s="2415" t="s">
        <v>497</v>
      </c>
      <c r="AD45" s="2416"/>
      <c r="AE45" s="2416"/>
      <c r="AF45" s="2416"/>
      <c r="AG45" s="2416"/>
      <c r="AH45" s="2416"/>
      <c r="AI45" s="2416"/>
      <c r="AJ45" s="3989"/>
      <c r="AK45" s="3990"/>
      <c r="AL45" s="3990"/>
      <c r="AM45" s="3990"/>
      <c r="AN45" s="3990"/>
      <c r="AO45" s="3990"/>
      <c r="AP45" s="3991"/>
      <c r="AQ45" s="2417"/>
      <c r="AR45" s="1477" t="s">
        <v>485</v>
      </c>
      <c r="AT45" s="670"/>
      <c r="AU45" s="670" t="str">
        <f>IF(T45="","",T45)</f>
        <v>Группа потребителей</v>
      </c>
      <c r="AV45" s="670"/>
      <c r="AW45" s="670"/>
      <c r="AX45" s="1325">
        <v>23</v>
      </c>
    </row>
    <row customHeight="1" ht="24">
      <c r="A46" s="1533" t="s">
        <v>225</v>
      </c>
      <c r="B46" s="1533" t="s">
        <v>226</v>
      </c>
      <c r="C46" s="1533" t="s">
        <v>227</v>
      </c>
      <c r="D46" s="1533" t="s">
        <v>496</v>
      </c>
      <c r="E46" s="2429"/>
      <c r="F46" s="2429"/>
      <c r="G46" s="2429"/>
      <c r="H46" s="2429"/>
      <c r="I46" s="2456"/>
      <c r="J46" s="2456"/>
      <c r="K46" s="2426" t="str">
        <f>J45&amp;".1"</f>
        <v>1.1.1.1.1.1</v>
      </c>
      <c r="L46" s="1534"/>
      <c r="P46" s="2427"/>
      <c r="Q46" s="2427"/>
      <c r="R46" s="527">
        <v>1</v>
      </c>
      <c r="S46" s="1528" t="str">
        <f>$K46</f>
        <v>1.1.1.1.1.1</v>
      </c>
      <c r="T46" s="1607"/>
      <c r="U46" s="470"/>
      <c r="V46" s="3993"/>
      <c r="W46" s="3993"/>
      <c r="X46" s="3994"/>
      <c r="Y46" s="3995"/>
      <c r="Z46" s="3996" t="s">
        <v>65</v>
      </c>
      <c r="AA46" s="4063"/>
      <c r="AB46" s="3996" t="s">
        <v>65</v>
      </c>
      <c r="AC46" s="921">
        <v>18.49</v>
      </c>
      <c r="AD46" s="921"/>
      <c r="AE46" s="1427"/>
      <c r="AF46" s="3995">
        <v>45658.41195601852</v>
      </c>
      <c r="AG46" s="2277" t="s">
        <v>65</v>
      </c>
      <c r="AH46" s="4063">
        <v>45838.41206018518</v>
      </c>
      <c r="AI46" s="2277" t="s">
        <v>65</v>
      </c>
      <c r="AJ46" s="3993">
        <v>25.7</v>
      </c>
      <c r="AK46" s="3993"/>
      <c r="AL46" s="3994"/>
      <c r="AM46" s="3995">
        <v>45839.4125</v>
      </c>
      <c r="AN46" s="3996" t="s">
        <v>65</v>
      </c>
      <c r="AO46" s="4063">
        <v>46022.41261574074</v>
      </c>
      <c r="AP46" s="3996" t="s">
        <v>65</v>
      </c>
      <c r="AQ46" s="1608"/>
      <c r="AR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1">
        <f>STRCHECKDATE(V47:AQ47)</f>
      </c>
      <c r="AT46" s="670"/>
      <c r="AU46" s="670" t="str">
        <f>IF(T46="","",T46)</f>
        <v/>
      </c>
      <c r="AV46" s="670"/>
      <c r="AW46" s="670"/>
      <c r="AX46" s="1325">
        <v>23</v>
      </c>
    </row>
    <row customHeight="1" ht="0">
      <c r="A47" s="1533" t="s">
        <v>225</v>
      </c>
      <c r="B47" s="1533" t="s">
        <v>226</v>
      </c>
      <c r="C47" s="1533" t="s">
        <v>227</v>
      </c>
      <c r="D47" s="1533" t="s">
        <v>496</v>
      </c>
      <c r="E47" s="2429"/>
      <c r="F47" s="2429"/>
      <c r="G47" s="2429"/>
      <c r="H47" s="2429"/>
      <c r="I47" s="2456"/>
      <c r="J47" s="2456"/>
      <c r="K47" s="2426"/>
      <c r="L47" s="1534"/>
      <c r="P47" s="2427"/>
      <c r="Q47" s="2427"/>
      <c r="R47" s="527"/>
      <c r="S47" s="1529"/>
      <c r="T47" s="470"/>
      <c r="U47" s="470"/>
      <c r="V47" s="4000"/>
      <c r="W47" s="4000"/>
      <c r="X47" s="4001" t="str">
        <f>Y46&amp;"-"&amp;AA46</f>
        <v>-</v>
      </c>
      <c r="Y47" s="4002"/>
      <c r="Z47" s="3996"/>
      <c r="AA47" s="4065"/>
      <c r="AB47" s="3996"/>
      <c r="AC47" s="495"/>
      <c r="AD47" s="495"/>
      <c r="AE47" s="498" t="str">
        <f>AF46&amp;"-"&amp;AH46</f>
        <v>45658.41195601852-45838.41206018518</v>
      </c>
      <c r="AF47" s="2436"/>
      <c r="AG47" s="2277"/>
      <c r="AH47" s="2458"/>
      <c r="AI47" s="2277"/>
      <c r="AJ47" s="4000"/>
      <c r="AK47" s="4000"/>
      <c r="AL47" s="4001" t="str">
        <f>AM46&amp;"-"&amp;AO46</f>
        <v>45839.4125-46022.41261574074</v>
      </c>
      <c r="AM47" s="4002"/>
      <c r="AN47" s="3996"/>
      <c r="AO47" s="4065"/>
      <c r="AP47" s="3996"/>
      <c r="AQ47" s="1609"/>
      <c r="AR47" s="2519"/>
      <c r="AT47" s="670"/>
      <c r="AU47" s="670" t="str">
        <f>IF(T47="","",T47)</f>
        <v/>
      </c>
      <c r="AV47" s="670"/>
      <c r="AW47" s="670"/>
      <c r="AX47" s="1325">
        <v>0</v>
      </c>
    </row>
    <row customHeight="1" ht="21">
      <c r="A48" s="1533" t="s">
        <v>225</v>
      </c>
      <c r="B48" s="1533" t="s">
        <v>226</v>
      </c>
      <c r="C48" s="1533" t="s">
        <v>227</v>
      </c>
      <c r="D48" s="1533" t="s">
        <v>496</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4066"/>
      <c r="AK48" s="4067"/>
      <c r="AL48" s="4068"/>
      <c r="AM48" s="4069"/>
      <c r="AN48" s="4070"/>
      <c r="AO48" s="4071"/>
      <c r="AP48" s="4072"/>
      <c r="AQ48" s="537"/>
      <c r="AR48" s="1428" t="s">
        <v>487</v>
      </c>
      <c r="AT48" s="670"/>
      <c r="AU48" s="670" t="str">
        <f>IF(T48="","",T48)</f>
        <v>Добавить значение признака дифференциации</v>
      </c>
      <c r="AV48" s="670"/>
      <c r="AW48" s="670"/>
      <c r="AX48" s="1325">
        <v>20</v>
      </c>
    </row>
    <row customHeight="1" ht="22.049999999999997">
      <c r="A49" s="1533" t="s">
        <v>225</v>
      </c>
      <c r="B49" s="1533" t="s">
        <v>226</v>
      </c>
      <c r="C49" s="1533" t="s">
        <v>227</v>
      </c>
      <c r="D49" s="1533" t="s">
        <v>496</v>
      </c>
      <c r="E49" s="2429"/>
      <c r="F49" s="2429"/>
      <c r="G49" s="2429"/>
      <c r="H49" s="2429"/>
      <c r="I49" s="2426"/>
      <c r="J49" s="1533"/>
      <c r="K49" s="1533"/>
      <c r="L49" s="1534"/>
      <c r="P49" s="2427"/>
      <c r="Q49" s="1524"/>
      <c r="R49" s="526"/>
      <c r="S49" s="1448"/>
      <c r="T49" s="535" t="s">
        <v>415</v>
      </c>
      <c r="U49" s="537"/>
      <c r="V49" s="537"/>
      <c r="W49" s="537"/>
      <c r="X49" s="537"/>
      <c r="Y49" s="537"/>
      <c r="Z49" s="537"/>
      <c r="AA49" s="537"/>
      <c r="AB49" s="536"/>
      <c r="AC49" s="537"/>
      <c r="AD49" s="537"/>
      <c r="AE49" s="537"/>
      <c r="AF49" s="537"/>
      <c r="AG49" s="537"/>
      <c r="AH49" s="537"/>
      <c r="AI49" s="536"/>
      <c r="AJ49" s="4073"/>
      <c r="AK49" s="4074"/>
      <c r="AL49" s="4075"/>
      <c r="AM49" s="4076"/>
      <c r="AN49" s="4077"/>
      <c r="AO49" s="4078"/>
      <c r="AP49" s="4079"/>
      <c r="AQ49" s="537"/>
      <c r="AR49" s="1610"/>
      <c r="AT49" s="670"/>
      <c r="AU49" s="670" t="str">
        <f>IF(T49="","",T49)</f>
        <v>Добавить группу потребителей</v>
      </c>
      <c r="AV49" s="670"/>
      <c r="AW49" s="670"/>
      <c r="AX49" s="1325">
        <v>21</v>
      </c>
    </row>
    <row customHeight="1" ht="22.049999999999997">
      <c r="A50" s="1533" t="s">
        <v>225</v>
      </c>
      <c r="B50" s="1533" t="s">
        <v>226</v>
      </c>
      <c r="C50" s="1533" t="s">
        <v>227</v>
      </c>
      <c r="D50" s="1533" t="s">
        <v>496</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4080"/>
      <c r="AK50" s="4081"/>
      <c r="AL50" s="4082"/>
      <c r="AM50" s="4083"/>
      <c r="AN50" s="4084"/>
      <c r="AO50" s="4085"/>
      <c r="AP50" s="4086"/>
      <c r="AQ50" s="537"/>
      <c r="AR50" s="473"/>
      <c r="AT50" s="670"/>
      <c r="AU50" s="670" t="str">
        <f>IF(T50="","",T50)</f>
        <v>Добавить наименование признака дифференциации</v>
      </c>
      <c r="AV50" s="670"/>
      <c r="AW50" s="670"/>
      <c r="AX50" s="1325">
        <v>21</v>
      </c>
    </row>
    <row s="9667" customFormat="1" customHeight="1" ht="0">
      <c r="A51" s="1513" t="s">
        <v>225</v>
      </c>
      <c r="B51" s="1513" t="s">
        <v>226</v>
      </c>
      <c r="C51" s="1484"/>
      <c r="D51" s="1484"/>
      <c r="E51" s="2429"/>
      <c r="F51" s="2428"/>
      <c r="G51" s="1484"/>
      <c r="H51" s="1484"/>
      <c r="I51" s="1484"/>
      <c r="J51" s="1484"/>
      <c r="K51" s="1484"/>
      <c r="L51" s="1596"/>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4028"/>
      <c r="AK51" s="4028"/>
      <c r="AL51" s="4028"/>
      <c r="AM51" s="4028"/>
      <c r="AN51" s="4028"/>
      <c r="AO51" s="4028"/>
      <c r="AP51" s="4028"/>
      <c r="AQ51" s="1494"/>
      <c r="AR51" s="1494"/>
      <c r="AT51" s="959"/>
      <c r="AU51" s="959" t="str">
        <f>IF(T51="","",T51)</f>
        <v>Добавить централизованную систему для дифференциации</v>
      </c>
      <c r="AV51" s="959"/>
      <c r="AW51" s="959"/>
      <c r="AX51" s="688">
        <v>0</v>
      </c>
    </row>
    <row s="9667" customFormat="1" customHeight="1" ht="0">
      <c r="A52" s="1513" t="s">
        <v>225</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4028"/>
      <c r="AK52" s="4028"/>
      <c r="AL52" s="4028"/>
      <c r="AM52" s="4028"/>
      <c r="AN52" s="4028"/>
      <c r="AO52" s="4028"/>
      <c r="AP52" s="4028"/>
      <c r="AQ52" s="1494"/>
      <c r="AR52" s="1494"/>
      <c r="AT52" s="670"/>
      <c r="AU52" s="670" t="str">
        <f>IF(T52="","",T52)</f>
        <v>Добавить территорию для дифференциации</v>
      </c>
      <c r="AV52" s="670"/>
      <c r="AW52" s="670"/>
      <c r="AX52" s="681">
        <v>0</v>
      </c>
    </row>
    <row s="9667"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4028"/>
      <c r="AK53" s="4028"/>
      <c r="AL53" s="4028"/>
      <c r="AM53" s="4028"/>
      <c r="AN53" s="4028"/>
      <c r="AO53" s="4028"/>
      <c r="AP53" s="4028"/>
      <c r="AQ53" s="1494"/>
      <c r="AR53" s="1494"/>
      <c r="AT53" s="959"/>
      <c r="AU53" s="959" t="str">
        <f>IF(T53="","",T53)</f>
        <v>Добавить наименование тарифа</v>
      </c>
      <c r="AV53" s="959"/>
      <c r="AW53" s="959"/>
      <c r="AX53" s="688">
        <v>0</v>
      </c>
    </row>
    <row customHeight="1" ht="11.549999999999999">
      <c r="M54" s="1330"/>
      <c r="N54" s="1330"/>
      <c r="O54" s="707"/>
      <c r="P54" s="1325"/>
      <c r="Q54" s="1325"/>
      <c r="R54" s="1325"/>
      <c r="S54" s="1325"/>
      <c r="AJ54" s="3973"/>
      <c r="AK54" s="3973"/>
      <c r="AL54" s="3973"/>
      <c r="AM54" s="3973"/>
      <c r="AN54" s="3973"/>
      <c r="AO54" s="3973"/>
      <c r="AP54" s="3973"/>
      <c r="AS54" s="1325"/>
      <c r="AT54" s="1325"/>
      <c r="AU54" s="1325"/>
      <c r="AV54" s="1325"/>
      <c r="AW54" s="1325"/>
      <c r="AX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4087"/>
      <c r="AK55" s="4087"/>
      <c r="AL55" s="4087"/>
      <c r="AM55" s="4087"/>
      <c r="AN55" s="4087"/>
      <c r="AO55" s="4087"/>
      <c r="AP55" s="4087"/>
      <c r="AQ55" s="2455"/>
      <c r="AR55" s="2455"/>
      <c r="AX55" s="1325">
        <v>14</v>
      </c>
    </row>
    <row customHeight="1" ht="14.699999999999998">
      <c r="O56" s="707"/>
      <c r="AJ56" s="3973"/>
      <c r="AK56" s="3973"/>
      <c r="AL56" s="3973"/>
      <c r="AM56" s="3973"/>
      <c r="AN56" s="3973"/>
      <c r="AO56" s="3973"/>
      <c r="AP56" s="3973"/>
      <c r="AX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4087"/>
      <c r="AK57" s="4087"/>
      <c r="AL57" s="4087"/>
      <c r="AM57" s="4087"/>
      <c r="AN57" s="4087"/>
      <c r="AO57" s="4087"/>
      <c r="AP57" s="4087"/>
      <c r="AQ57" s="2455"/>
      <c r="AR57" s="2455"/>
      <c r="AX57" s="1325">
        <v>14</v>
      </c>
    </row>
    <row customHeight="1" ht="22.5" hidden="1">
      <c r="A58" s="1330" t="s">
        <v>81</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3973">
        <v>0</v>
      </c>
      <c r="AK58" s="3973">
        <v>0</v>
      </c>
      <c r="AL58" s="3973">
        <v>0</v>
      </c>
      <c r="AM58" s="3973">
        <v>0</v>
      </c>
      <c r="AN58" s="3973">
        <v>0</v>
      </c>
      <c r="AO58" s="3973">
        <v>0</v>
      </c>
      <c r="AP58" s="3973">
        <v>0</v>
      </c>
      <c r="AQ58" s="1325">
        <v>4</v>
      </c>
      <c r="AR58" s="1325">
        <v>115</v>
      </c>
      <c r="AS58" s="681">
        <v>10</v>
      </c>
      <c r="AT58" s="681">
        <v>10</v>
      </c>
      <c r="AU58" s="681">
        <v>10</v>
      </c>
      <c r="AV58" s="681">
        <v>10</v>
      </c>
      <c r="AW58" s="681">
        <v>10</v>
      </c>
      <c r="AX58" s="1325">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E4E7A-340F-00BD-396B-2920C2AD82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401</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409</v>
      </c>
      <c r="P6" s="2427"/>
      <c r="Q6" s="2427">
        <v>1</v>
      </c>
      <c r="R6" s="527"/>
      <c r="S6" s="1627">
        <f>$J6</f>
      </c>
      <c r="T6" s="456" t="s">
        <v>410</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415</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66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666" customFormat="1" customHeight="1" ht="22.5" hidden="1">
      <c r="L18" s="1617"/>
      <c r="M18" s="1532"/>
      <c r="N18" s="1532"/>
      <c r="O18" s="1537" t="s">
        <v>418</v>
      </c>
      <c r="P18" s="1532"/>
      <c r="Q18" s="1541"/>
      <c r="R18" s="1541"/>
      <c r="S18" s="899"/>
      <c r="Y18" s="1537"/>
      <c r="AA18" s="1537"/>
      <c r="AB18" s="1536"/>
      <c r="AF18" s="1537"/>
      <c r="AH18" s="1537"/>
      <c r="AI18" s="1536"/>
      <c r="AL18" s="681"/>
      <c r="AM18" s="681"/>
      <c r="AN18" s="681"/>
      <c r="AO18" s="681"/>
      <c r="AP18" s="681"/>
      <c r="AQ18" s="1330">
        <v>0</v>
      </c>
    </row>
    <row s="9666" customFormat="1" customHeight="1" ht="14.25" hidden="1">
      <c r="L19" s="1617"/>
      <c r="M19" s="1532"/>
      <c r="N19" s="1532"/>
      <c r="O19" s="1532"/>
      <c r="P19" s="1532"/>
      <c r="Q19" s="1541"/>
      <c r="R19" s="1541"/>
      <c r="S19" s="899"/>
      <c r="AB19" s="1536"/>
      <c r="AI19" s="1536"/>
      <c r="AL19" s="681"/>
      <c r="AM19" s="681"/>
      <c r="AN19" s="681"/>
      <c r="AO19" s="681"/>
      <c r="AP19" s="681"/>
      <c r="AQ19" s="1330">
        <v>0</v>
      </c>
    </row>
    <row s="9666" customFormat="1" customHeight="1" ht="12" hidden="1">
      <c r="L20" s="1617"/>
      <c r="M20" s="1532"/>
      <c r="N20" s="1532"/>
      <c r="O20" s="1534" t="s">
        <v>419</v>
      </c>
      <c r="P20" s="1532"/>
      <c r="Q20" s="1612"/>
      <c r="R20" s="1612"/>
      <c r="S20" s="899"/>
      <c r="T20" s="1330" t="s">
        <v>420</v>
      </c>
      <c r="Z20" s="356" t="s">
        <v>421</v>
      </c>
      <c r="AB20" s="356" t="s">
        <v>422</v>
      </c>
      <c r="AC20" s="1330" t="s">
        <v>420</v>
      </c>
      <c r="AG20" s="356" t="s">
        <v>423</v>
      </c>
      <c r="AI20" s="356" t="s">
        <v>422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96"/>
      <c r="AK28" s="450"/>
      <c r="AL28" s="538"/>
      <c r="AM28" s="538"/>
      <c r="AN28" s="538"/>
      <c r="AO28" s="538"/>
      <c r="AP28" s="538"/>
      <c r="AQ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96"/>
      <c r="AK29" s="450"/>
      <c r="AL29" s="538"/>
      <c r="AM29" s="538"/>
      <c r="AN29" s="538"/>
      <c r="AO29" s="538"/>
      <c r="AP29" s="538"/>
      <c r="AQ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96"/>
      <c r="AK32" s="450"/>
      <c r="AL32" s="538"/>
      <c r="AM32" s="538"/>
      <c r="AN32" s="538"/>
      <c r="AO32" s="538"/>
      <c r="AP32" s="538"/>
      <c r="AQ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96"/>
      <c r="AK33" s="450"/>
      <c r="AL33" s="538"/>
      <c r="AM33" s="538"/>
      <c r="AN33" s="538"/>
      <c r="AO33" s="538"/>
      <c r="AP33" s="538"/>
      <c r="AQ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428</v>
      </c>
      <c r="AC34" s="496"/>
      <c r="AD34" s="496"/>
      <c r="AE34" s="496"/>
      <c r="AF34" s="496"/>
      <c r="AG34" s="496"/>
      <c r="AH34" s="496"/>
      <c r="AI34" s="448" t="s">
        <v>428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t="s">
        <v>304</v>
      </c>
      <c r="AQ36" s="1325">
        <v>14</v>
      </c>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2450" t="s">
        <v>433</v>
      </c>
      <c r="AK37" s="2297"/>
      <c r="AQ37" s="1325">
        <v>14</v>
      </c>
    </row>
    <row customHeight="1" ht="35.699999999999996">
      <c r="Q38" s="546"/>
      <c r="R38" s="546"/>
      <c r="S38" s="2443"/>
      <c r="T38" s="2379"/>
      <c r="U38" s="1201"/>
      <c r="V38" s="1622" t="s">
        <v>490</v>
      </c>
      <c r="W38" s="2432" t="s">
        <v>436</v>
      </c>
      <c r="X38" s="2433"/>
      <c r="Y38" s="2432" t="s">
        <v>437</v>
      </c>
      <c r="Z38" s="2439"/>
      <c r="AA38" s="2433"/>
      <c r="AB38" s="2448"/>
      <c r="AC38" s="1622" t="s">
        <v>490</v>
      </c>
      <c r="AD38" s="2432" t="s">
        <v>436</v>
      </c>
      <c r="AE38" s="2433"/>
      <c r="AF38" s="2432" t="s">
        <v>437</v>
      </c>
      <c r="AG38" s="2439"/>
      <c r="AH38" s="2433"/>
      <c r="AI38" s="2448"/>
      <c r="AJ38" s="2451"/>
      <c r="AK38" s="2297"/>
      <c r="AQ38" s="1325">
        <v>34</v>
      </c>
    </row>
    <row customHeight="1" ht="35.699999999999996">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622" t="s">
        <v>493</v>
      </c>
      <c r="W39" s="1392" t="s">
        <v>494</v>
      </c>
      <c r="X39" s="1392" t="s">
        <v>495</v>
      </c>
      <c r="Y39" s="1625" t="s">
        <v>447</v>
      </c>
      <c r="Z39" s="2440" t="s">
        <v>448</v>
      </c>
      <c r="AA39" s="2441"/>
      <c r="AB39" s="2449"/>
      <c r="AC39" s="1622" t="s">
        <v>493</v>
      </c>
      <c r="AD39" s="1392" t="s">
        <v>494</v>
      </c>
      <c r="AE39" s="1392" t="s">
        <v>495</v>
      </c>
      <c r="AF39" s="1625" t="s">
        <v>447</v>
      </c>
      <c r="AG39" s="2440" t="s">
        <v>448</v>
      </c>
      <c r="AH39" s="2441"/>
      <c r="AI39" s="2449"/>
      <c r="AJ39" s="2452"/>
      <c r="AK39" s="2297"/>
      <c r="AQ39" s="1325">
        <v>34</v>
      </c>
    </row>
    <row s="1028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122</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233</v>
      </c>
      <c r="B42" s="1533" t="s">
        <v>234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400</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401</v>
      </c>
      <c r="AM42" s="670"/>
      <c r="AN42" s="670" t="str">
        <f>IF(T42="","",T42)</f>
        <v>Территория действия тарифа</v>
      </c>
      <c r="AO42" s="670"/>
      <c r="AP42" s="670"/>
      <c r="AQ42" s="1325">
        <v>23</v>
      </c>
    </row>
    <row customHeight="1" ht="24">
      <c r="A43" s="1533" t="s">
        <v>233</v>
      </c>
      <c r="B43" s="1533" t="s">
        <v>234</v>
      </c>
      <c r="C43" s="1533" t="s">
        <v>235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233</v>
      </c>
      <c r="B44" s="1533" t="s">
        <v>234</v>
      </c>
      <c r="C44" s="1533" t="s">
        <v>235</v>
      </c>
      <c r="D44" s="1533" t="s">
        <v>498</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233</v>
      </c>
      <c r="B45" s="1533" t="s">
        <v>234</v>
      </c>
      <c r="C45" s="1533" t="s">
        <v>235</v>
      </c>
      <c r="D45" s="1533" t="s">
        <v>498</v>
      </c>
      <c r="E45" s="2429"/>
      <c r="F45" s="2429"/>
      <c r="G45" s="2429"/>
      <c r="H45" s="2429"/>
      <c r="I45" s="2456"/>
      <c r="J45" s="2426" t="str">
        <f>I44&amp;".1"</f>
        <v>...1.1</v>
      </c>
      <c r="K45" s="1533"/>
      <c r="L45" s="1534" t="s">
        <v>409</v>
      </c>
      <c r="P45" s="2427"/>
      <c r="Q45" s="2427">
        <v>1</v>
      </c>
      <c r="R45" s="527"/>
      <c r="S45" s="1627" t="str">
        <f>$J45</f>
        <v>...1.1</v>
      </c>
      <c r="T45" s="456" t="s">
        <v>410</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233</v>
      </c>
      <c r="B46" s="1533" t="s">
        <v>234</v>
      </c>
      <c r="C46" s="1533" t="s">
        <v>235</v>
      </c>
      <c r="D46" s="1533" t="s">
        <v>498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233</v>
      </c>
      <c r="B47" s="1533" t="s">
        <v>234</v>
      </c>
      <c r="C47" s="1533" t="s">
        <v>235</v>
      </c>
      <c r="D47" s="1533" t="s">
        <v>498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233</v>
      </c>
      <c r="B48" s="1533" t="s">
        <v>234</v>
      </c>
      <c r="C48" s="1533" t="s">
        <v>235</v>
      </c>
      <c r="D48" s="1533" t="s">
        <v>498</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233</v>
      </c>
      <c r="B49" s="1533" t="s">
        <v>234</v>
      </c>
      <c r="C49" s="1533" t="s">
        <v>235</v>
      </c>
      <c r="D49" s="1533" t="s">
        <v>498</v>
      </c>
      <c r="E49" s="2429"/>
      <c r="F49" s="2429"/>
      <c r="G49" s="2429"/>
      <c r="H49" s="2429"/>
      <c r="I49" s="2426"/>
      <c r="J49" s="1533"/>
      <c r="K49" s="1533"/>
      <c r="L49" s="1534"/>
      <c r="P49" s="2427"/>
      <c r="Q49" s="1620"/>
      <c r="R49" s="526"/>
      <c r="S49" s="1448"/>
      <c r="T49" s="535" t="s">
        <v>415</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233</v>
      </c>
      <c r="B50" s="1533" t="s">
        <v>234</v>
      </c>
      <c r="C50" s="1533" t="s">
        <v>235</v>
      </c>
      <c r="D50" s="1533" t="s">
        <v>498</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667" customFormat="1" customHeight="1" ht="0">
      <c r="A51" s="1513" t="s">
        <v>233</v>
      </c>
      <c r="B51" s="1513" t="s">
        <v>234</v>
      </c>
      <c r="C51" s="1484"/>
      <c r="D51" s="1484"/>
      <c r="E51" s="2429"/>
      <c r="F51" s="2428"/>
      <c r="G51" s="1484"/>
      <c r="H51" s="1484"/>
      <c r="I51" s="1484"/>
      <c r="J51" s="1484"/>
      <c r="K51" s="1484"/>
      <c r="L51" s="1628"/>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667" customFormat="1" customHeight="1" ht="0">
      <c r="A52" s="1513" t="s">
        <v>233</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66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64218-96F7-6C81-FEE6-48E073BE95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401</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409</v>
      </c>
      <c r="P6" s="2427"/>
      <c r="Q6" s="2427">
        <v>1</v>
      </c>
      <c r="R6" s="527"/>
      <c r="S6" s="1627">
        <f>$J6</f>
      </c>
      <c r="T6" s="456" t="s">
        <v>410</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415</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66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666" customFormat="1" customHeight="1" ht="22.5" hidden="1">
      <c r="L18" s="1617"/>
      <c r="M18" s="1532"/>
      <c r="N18" s="1532"/>
      <c r="O18" s="1537" t="s">
        <v>418</v>
      </c>
      <c r="P18" s="1532"/>
      <c r="Q18" s="1541"/>
      <c r="R18" s="1541"/>
      <c r="S18" s="899"/>
      <c r="Y18" s="1537"/>
      <c r="AA18" s="1537"/>
      <c r="AB18" s="1536"/>
      <c r="AF18" s="1537"/>
      <c r="AH18" s="1537"/>
      <c r="AI18" s="1536"/>
      <c r="AL18" s="681"/>
      <c r="AM18" s="681"/>
      <c r="AN18" s="681"/>
      <c r="AO18" s="681"/>
      <c r="AP18" s="681"/>
      <c r="AQ18" s="1330">
        <v>0</v>
      </c>
    </row>
    <row s="9666" customFormat="1" customHeight="1" ht="14.25" hidden="1">
      <c r="L19" s="1617"/>
      <c r="M19" s="1532"/>
      <c r="N19" s="1532"/>
      <c r="O19" s="1532"/>
      <c r="P19" s="1532"/>
      <c r="Q19" s="1541"/>
      <c r="R19" s="1541"/>
      <c r="S19" s="899"/>
      <c r="AB19" s="1536"/>
      <c r="AI19" s="1536"/>
      <c r="AL19" s="681"/>
      <c r="AM19" s="681"/>
      <c r="AN19" s="681"/>
      <c r="AO19" s="681"/>
      <c r="AP19" s="681"/>
      <c r="AQ19" s="1330">
        <v>0</v>
      </c>
    </row>
    <row s="9666" customFormat="1" customHeight="1" ht="12" hidden="1">
      <c r="L20" s="1617"/>
      <c r="M20" s="1532"/>
      <c r="N20" s="1532"/>
      <c r="O20" s="1534" t="s">
        <v>419</v>
      </c>
      <c r="P20" s="1532"/>
      <c r="Q20" s="1612"/>
      <c r="R20" s="1612"/>
      <c r="S20" s="899"/>
      <c r="T20" s="1330" t="s">
        <v>420</v>
      </c>
      <c r="Z20" s="356" t="s">
        <v>421</v>
      </c>
      <c r="AB20" s="356" t="s">
        <v>422</v>
      </c>
      <c r="AC20" s="1330" t="s">
        <v>420</v>
      </c>
      <c r="AG20" s="356" t="s">
        <v>423</v>
      </c>
      <c r="AI20" s="356" t="s">
        <v>422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96"/>
      <c r="AK28" s="450"/>
      <c r="AL28" s="538"/>
      <c r="AM28" s="538"/>
      <c r="AN28" s="538"/>
      <c r="AO28" s="538"/>
      <c r="AP28" s="538"/>
      <c r="AQ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96"/>
      <c r="AK29" s="450"/>
      <c r="AL29" s="538"/>
      <c r="AM29" s="538"/>
      <c r="AN29" s="538"/>
      <c r="AO29" s="538"/>
      <c r="AP29" s="538"/>
      <c r="AQ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96"/>
      <c r="AK32" s="450"/>
      <c r="AL32" s="538"/>
      <c r="AM32" s="538"/>
      <c r="AN32" s="538"/>
      <c r="AO32" s="538"/>
      <c r="AP32" s="538"/>
      <c r="AQ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96"/>
      <c r="AK33" s="450"/>
      <c r="AL33" s="538"/>
      <c r="AM33" s="538"/>
      <c r="AN33" s="538"/>
      <c r="AO33" s="538"/>
      <c r="AP33" s="538"/>
      <c r="AQ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428</v>
      </c>
      <c r="AC34" s="496"/>
      <c r="AD34" s="496"/>
      <c r="AE34" s="496"/>
      <c r="AF34" s="496"/>
      <c r="AG34" s="496"/>
      <c r="AH34" s="496"/>
      <c r="AI34" s="448" t="s">
        <v>428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t="s">
        <v>304</v>
      </c>
      <c r="AQ36" s="1325">
        <v>14</v>
      </c>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2450" t="s">
        <v>433</v>
      </c>
      <c r="AK37" s="2297"/>
      <c r="AQ37" s="1325">
        <v>14</v>
      </c>
    </row>
    <row customHeight="1" ht="35.699999999999996">
      <c r="Q38" s="546"/>
      <c r="R38" s="546"/>
      <c r="S38" s="2443"/>
      <c r="T38" s="2379"/>
      <c r="U38" s="1201"/>
      <c r="V38" s="1622" t="s">
        <v>490</v>
      </c>
      <c r="W38" s="2432" t="s">
        <v>436</v>
      </c>
      <c r="X38" s="2433"/>
      <c r="Y38" s="2432" t="s">
        <v>437</v>
      </c>
      <c r="Z38" s="2439"/>
      <c r="AA38" s="2433"/>
      <c r="AB38" s="2448"/>
      <c r="AC38" s="1622" t="s">
        <v>490</v>
      </c>
      <c r="AD38" s="2432" t="s">
        <v>436</v>
      </c>
      <c r="AE38" s="2433"/>
      <c r="AF38" s="2432" t="s">
        <v>437</v>
      </c>
      <c r="AG38" s="2439"/>
      <c r="AH38" s="2433"/>
      <c r="AI38" s="2448"/>
      <c r="AJ38" s="2451"/>
      <c r="AK38" s="2297"/>
      <c r="AQ38" s="1325">
        <v>34</v>
      </c>
    </row>
    <row customHeight="1" ht="35.699999999999996">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622" t="s">
        <v>493</v>
      </c>
      <c r="W39" s="1392" t="s">
        <v>494</v>
      </c>
      <c r="X39" s="1392" t="s">
        <v>495</v>
      </c>
      <c r="Y39" s="1625" t="s">
        <v>447</v>
      </c>
      <c r="Z39" s="2440" t="s">
        <v>448</v>
      </c>
      <c r="AA39" s="2441"/>
      <c r="AB39" s="2449"/>
      <c r="AC39" s="1622" t="s">
        <v>493</v>
      </c>
      <c r="AD39" s="1392" t="s">
        <v>494</v>
      </c>
      <c r="AE39" s="1392" t="s">
        <v>495</v>
      </c>
      <c r="AF39" s="1625" t="s">
        <v>447</v>
      </c>
      <c r="AG39" s="2440" t="s">
        <v>448</v>
      </c>
      <c r="AH39" s="2441"/>
      <c r="AI39" s="2449"/>
      <c r="AJ39" s="2452"/>
      <c r="AK39" s="2297"/>
      <c r="AQ39" s="1325">
        <v>34</v>
      </c>
    </row>
    <row s="1028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238</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122</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238</v>
      </c>
      <c r="B42" s="1533" t="s">
        <v>239</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400</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401</v>
      </c>
      <c r="AM42" s="670"/>
      <c r="AN42" s="670" t="str">
        <f>IF(T42="","",T42)</f>
        <v>Территория действия тарифа</v>
      </c>
      <c r="AO42" s="670"/>
      <c r="AP42" s="670"/>
      <c r="AQ42" s="1325">
        <v>23</v>
      </c>
    </row>
    <row customHeight="1" ht="24">
      <c r="A43" s="1533" t="s">
        <v>238</v>
      </c>
      <c r="B43" s="1533" t="s">
        <v>239</v>
      </c>
      <c r="C43" s="1533" t="s">
        <v>240</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238</v>
      </c>
      <c r="B44" s="1533" t="s">
        <v>239</v>
      </c>
      <c r="C44" s="1533" t="s">
        <v>240</v>
      </c>
      <c r="D44" s="1533" t="s">
        <v>499</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238</v>
      </c>
      <c r="B45" s="1533" t="s">
        <v>239</v>
      </c>
      <c r="C45" s="1533" t="s">
        <v>240</v>
      </c>
      <c r="D45" s="1533" t="s">
        <v>499</v>
      </c>
      <c r="E45" s="2429"/>
      <c r="F45" s="2429"/>
      <c r="G45" s="2429"/>
      <c r="H45" s="2429"/>
      <c r="I45" s="2456"/>
      <c r="J45" s="2426" t="str">
        <f>I44&amp;".1"</f>
        <v>...1.1</v>
      </c>
      <c r="K45" s="1533"/>
      <c r="L45" s="1534" t="s">
        <v>409</v>
      </c>
      <c r="P45" s="2427"/>
      <c r="Q45" s="2427">
        <v>1</v>
      </c>
      <c r="R45" s="527"/>
      <c r="S45" s="1627" t="str">
        <f>$J45</f>
        <v>...1.1</v>
      </c>
      <c r="T45" s="456" t="s">
        <v>410</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238</v>
      </c>
      <c r="B46" s="1533" t="s">
        <v>239</v>
      </c>
      <c r="C46" s="1533" t="s">
        <v>240</v>
      </c>
      <c r="D46" s="1533" t="s">
        <v>499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238</v>
      </c>
      <c r="B47" s="1533" t="s">
        <v>239</v>
      </c>
      <c r="C47" s="1533" t="s">
        <v>240</v>
      </c>
      <c r="D47" s="1533" t="s">
        <v>499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238</v>
      </c>
      <c r="B48" s="1533" t="s">
        <v>239</v>
      </c>
      <c r="C48" s="1533" t="s">
        <v>240</v>
      </c>
      <c r="D48" s="1533" t="s">
        <v>499</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238</v>
      </c>
      <c r="B49" s="1533" t="s">
        <v>239</v>
      </c>
      <c r="C49" s="1533" t="s">
        <v>240</v>
      </c>
      <c r="D49" s="1533" t="s">
        <v>499</v>
      </c>
      <c r="E49" s="2429"/>
      <c r="F49" s="2429"/>
      <c r="G49" s="2429"/>
      <c r="H49" s="2429"/>
      <c r="I49" s="2426"/>
      <c r="J49" s="1533"/>
      <c r="K49" s="1533"/>
      <c r="L49" s="1534"/>
      <c r="P49" s="2427"/>
      <c r="Q49" s="1620"/>
      <c r="R49" s="526"/>
      <c r="S49" s="1448"/>
      <c r="T49" s="535" t="s">
        <v>415</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238</v>
      </c>
      <c r="B50" s="1533" t="s">
        <v>239</v>
      </c>
      <c r="C50" s="1533" t="s">
        <v>240</v>
      </c>
      <c r="D50" s="1533" t="s">
        <v>499</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667" customFormat="1" customHeight="1" ht="0">
      <c r="A51" s="1513" t="s">
        <v>238</v>
      </c>
      <c r="B51" s="1513" t="s">
        <v>239</v>
      </c>
      <c r="C51" s="1484"/>
      <c r="D51" s="1484"/>
      <c r="E51" s="2429"/>
      <c r="F51" s="2428"/>
      <c r="G51" s="1484"/>
      <c r="H51" s="1484"/>
      <c r="I51" s="1484"/>
      <c r="J51" s="1484"/>
      <c r="K51" s="1484"/>
      <c r="L51" s="1628"/>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667" customFormat="1" customHeight="1" ht="0">
      <c r="A52" s="1513" t="s">
        <v>238</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66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25EFF-815D-CCD3-C634-6BEF978680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401</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409</v>
      </c>
      <c r="P6" s="2427"/>
      <c r="Q6" s="2427">
        <v>1</v>
      </c>
      <c r="R6" s="527"/>
      <c r="S6" s="1627">
        <f>$J6</f>
      </c>
      <c r="T6" s="456" t="s">
        <v>410</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415</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66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666" customFormat="1" customHeight="1" ht="22.5" hidden="1">
      <c r="L18" s="1617"/>
      <c r="M18" s="1532"/>
      <c r="N18" s="1532"/>
      <c r="O18" s="1537" t="s">
        <v>418</v>
      </c>
      <c r="P18" s="1532"/>
      <c r="Q18" s="1541"/>
      <c r="R18" s="1541"/>
      <c r="S18" s="899"/>
      <c r="Y18" s="1537"/>
      <c r="AA18" s="1537"/>
      <c r="AB18" s="1536"/>
      <c r="AF18" s="1537"/>
      <c r="AH18" s="1537"/>
      <c r="AI18" s="1536"/>
      <c r="AL18" s="681"/>
      <c r="AM18" s="681"/>
      <c r="AN18" s="681"/>
      <c r="AO18" s="681"/>
      <c r="AP18" s="681"/>
      <c r="AQ18" s="1330">
        <v>0</v>
      </c>
    </row>
    <row s="9666" customFormat="1" customHeight="1" ht="14.25" hidden="1">
      <c r="L19" s="1617"/>
      <c r="M19" s="1532"/>
      <c r="N19" s="1532"/>
      <c r="O19" s="1532"/>
      <c r="P19" s="1532"/>
      <c r="Q19" s="1541"/>
      <c r="R19" s="1541"/>
      <c r="S19" s="899"/>
      <c r="AB19" s="1536"/>
      <c r="AI19" s="1536"/>
      <c r="AL19" s="681"/>
      <c r="AM19" s="681"/>
      <c r="AN19" s="681"/>
      <c r="AO19" s="681"/>
      <c r="AP19" s="681"/>
      <c r="AQ19" s="1330">
        <v>0</v>
      </c>
    </row>
    <row s="9666" customFormat="1" customHeight="1" ht="12" hidden="1">
      <c r="L20" s="1617"/>
      <c r="M20" s="1532"/>
      <c r="N20" s="1532"/>
      <c r="O20" s="1534" t="s">
        <v>419</v>
      </c>
      <c r="P20" s="1532"/>
      <c r="Q20" s="1612"/>
      <c r="R20" s="1612"/>
      <c r="S20" s="899"/>
      <c r="T20" s="1330" t="s">
        <v>420</v>
      </c>
      <c r="Z20" s="356" t="s">
        <v>421</v>
      </c>
      <c r="AB20" s="356" t="s">
        <v>422</v>
      </c>
      <c r="AC20" s="1330" t="s">
        <v>420</v>
      </c>
      <c r="AG20" s="356" t="s">
        <v>423</v>
      </c>
      <c r="AI20" s="356" t="s">
        <v>422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96"/>
      <c r="AK28" s="450"/>
      <c r="AL28" s="538"/>
      <c r="AM28" s="538"/>
      <c r="AN28" s="538"/>
      <c r="AO28" s="538"/>
      <c r="AP28" s="538"/>
      <c r="AQ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96"/>
      <c r="AK29" s="450"/>
      <c r="AL29" s="538"/>
      <c r="AM29" s="538"/>
      <c r="AN29" s="538"/>
      <c r="AO29" s="538"/>
      <c r="AP29" s="538"/>
      <c r="AQ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96"/>
      <c r="AK32" s="450"/>
      <c r="AL32" s="538"/>
      <c r="AM32" s="538"/>
      <c r="AN32" s="538"/>
      <c r="AO32" s="538"/>
      <c r="AP32" s="538"/>
      <c r="AQ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96"/>
      <c r="AK33" s="450"/>
      <c r="AL33" s="538"/>
      <c r="AM33" s="538"/>
      <c r="AN33" s="538"/>
      <c r="AO33" s="538"/>
      <c r="AP33" s="538"/>
      <c r="AQ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428</v>
      </c>
      <c r="AC34" s="496"/>
      <c r="AD34" s="496"/>
      <c r="AE34" s="496"/>
      <c r="AF34" s="496"/>
      <c r="AG34" s="496"/>
      <c r="AH34" s="496"/>
      <c r="AI34" s="448" t="s">
        <v>428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t="s">
        <v>304</v>
      </c>
      <c r="AQ36" s="1325">
        <v>14</v>
      </c>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2450" t="s">
        <v>433</v>
      </c>
      <c r="AK37" s="2297"/>
      <c r="AQ37" s="1325">
        <v>14</v>
      </c>
    </row>
    <row customHeight="1" ht="35.699999999999996">
      <c r="Q38" s="546"/>
      <c r="R38" s="546"/>
      <c r="S38" s="2443"/>
      <c r="T38" s="2379"/>
      <c r="U38" s="1201"/>
      <c r="V38" s="1622" t="s">
        <v>490</v>
      </c>
      <c r="W38" s="2432" t="s">
        <v>436</v>
      </c>
      <c r="X38" s="2433"/>
      <c r="Y38" s="2432" t="s">
        <v>437</v>
      </c>
      <c r="Z38" s="2439"/>
      <c r="AA38" s="2433"/>
      <c r="AB38" s="2448"/>
      <c r="AC38" s="1622" t="s">
        <v>490</v>
      </c>
      <c r="AD38" s="2432" t="s">
        <v>436</v>
      </c>
      <c r="AE38" s="2433"/>
      <c r="AF38" s="2432" t="s">
        <v>437</v>
      </c>
      <c r="AG38" s="2439"/>
      <c r="AH38" s="2433"/>
      <c r="AI38" s="2448"/>
      <c r="AJ38" s="2451"/>
      <c r="AK38" s="2297"/>
      <c r="AQ38" s="1325">
        <v>34</v>
      </c>
    </row>
    <row customHeight="1" ht="35.699999999999996">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622" t="s">
        <v>493</v>
      </c>
      <c r="W39" s="1392" t="s">
        <v>494</v>
      </c>
      <c r="X39" s="1392" t="s">
        <v>495</v>
      </c>
      <c r="Y39" s="1625" t="s">
        <v>447</v>
      </c>
      <c r="Z39" s="2440" t="s">
        <v>448</v>
      </c>
      <c r="AA39" s="2441"/>
      <c r="AB39" s="2449"/>
      <c r="AC39" s="1622" t="s">
        <v>493</v>
      </c>
      <c r="AD39" s="1392" t="s">
        <v>494</v>
      </c>
      <c r="AE39" s="1392" t="s">
        <v>495</v>
      </c>
      <c r="AF39" s="1625" t="s">
        <v>447</v>
      </c>
      <c r="AG39" s="2440" t="s">
        <v>448</v>
      </c>
      <c r="AH39" s="2441"/>
      <c r="AI39" s="2449"/>
      <c r="AJ39" s="2452"/>
      <c r="AK39" s="2297"/>
      <c r="AQ39" s="1325">
        <v>34</v>
      </c>
    </row>
    <row s="1028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122</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243</v>
      </c>
      <c r="B42" s="1533" t="s">
        <v>244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400</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401</v>
      </c>
      <c r="AM42" s="670"/>
      <c r="AN42" s="670" t="str">
        <f>IF(T42="","",T42)</f>
        <v>Территория действия тарифа</v>
      </c>
      <c r="AO42" s="670"/>
      <c r="AP42" s="670"/>
      <c r="AQ42" s="1325">
        <v>23</v>
      </c>
    </row>
    <row customHeight="1" ht="24">
      <c r="A43" s="1533" t="s">
        <v>243</v>
      </c>
      <c r="B43" s="1533" t="s">
        <v>244</v>
      </c>
      <c r="C43" s="1533" t="s">
        <v>245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243</v>
      </c>
      <c r="B44" s="1533" t="s">
        <v>244</v>
      </c>
      <c r="C44" s="1533" t="s">
        <v>245</v>
      </c>
      <c r="D44" s="1533" t="s">
        <v>500</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243</v>
      </c>
      <c r="B45" s="1533" t="s">
        <v>244</v>
      </c>
      <c r="C45" s="1533" t="s">
        <v>245</v>
      </c>
      <c r="D45" s="1533" t="s">
        <v>500</v>
      </c>
      <c r="E45" s="2429"/>
      <c r="F45" s="2429"/>
      <c r="G45" s="2429"/>
      <c r="H45" s="2429"/>
      <c r="I45" s="2456"/>
      <c r="J45" s="2426" t="str">
        <f>I44&amp;".1"</f>
        <v>...1.1</v>
      </c>
      <c r="K45" s="1533"/>
      <c r="L45" s="1534" t="s">
        <v>409</v>
      </c>
      <c r="P45" s="2427"/>
      <c r="Q45" s="2427">
        <v>1</v>
      </c>
      <c r="R45" s="527"/>
      <c r="S45" s="1627" t="str">
        <f>$J45</f>
        <v>...1.1</v>
      </c>
      <c r="T45" s="456" t="s">
        <v>410</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243</v>
      </c>
      <c r="B46" s="1533" t="s">
        <v>244</v>
      </c>
      <c r="C46" s="1533" t="s">
        <v>245</v>
      </c>
      <c r="D46" s="1533" t="s">
        <v>500</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243</v>
      </c>
      <c r="B47" s="1533" t="s">
        <v>244</v>
      </c>
      <c r="C47" s="1533" t="s">
        <v>245</v>
      </c>
      <c r="D47" s="1533" t="s">
        <v>500</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243</v>
      </c>
      <c r="B48" s="1533" t="s">
        <v>244</v>
      </c>
      <c r="C48" s="1533" t="s">
        <v>245</v>
      </c>
      <c r="D48" s="1533" t="s">
        <v>500</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243</v>
      </c>
      <c r="B49" s="1533" t="s">
        <v>244</v>
      </c>
      <c r="C49" s="1533" t="s">
        <v>245</v>
      </c>
      <c r="D49" s="1533" t="s">
        <v>500</v>
      </c>
      <c r="E49" s="2429"/>
      <c r="F49" s="2429"/>
      <c r="G49" s="2429"/>
      <c r="H49" s="2429"/>
      <c r="I49" s="2426"/>
      <c r="J49" s="1533"/>
      <c r="K49" s="1533"/>
      <c r="L49" s="1534"/>
      <c r="P49" s="2427"/>
      <c r="Q49" s="1620"/>
      <c r="R49" s="526"/>
      <c r="S49" s="1448"/>
      <c r="T49" s="535" t="s">
        <v>415</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243</v>
      </c>
      <c r="B50" s="1533" t="s">
        <v>244</v>
      </c>
      <c r="C50" s="1533" t="s">
        <v>245</v>
      </c>
      <c r="D50" s="1533" t="s">
        <v>500</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667" customFormat="1" customHeight="1" ht="0">
      <c r="A51" s="1513" t="s">
        <v>243</v>
      </c>
      <c r="B51" s="1513" t="s">
        <v>244</v>
      </c>
      <c r="C51" s="1484"/>
      <c r="D51" s="1484"/>
      <c r="E51" s="2429"/>
      <c r="F51" s="2428"/>
      <c r="G51" s="1484"/>
      <c r="H51" s="1484"/>
      <c r="I51" s="1484"/>
      <c r="J51" s="1484"/>
      <c r="K51" s="1484"/>
      <c r="L51" s="1628"/>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667" customFormat="1" customHeight="1" ht="0">
      <c r="A52" s="1513" t="s">
        <v>243</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66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A681D-91DF-D5F2-B5BD-392DAC8A213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9589" width="10.140625" hidden="1" customWidth="1"/>
    <col min="4" max="4" style="9589" width="11.8515625" hidden="1" customWidth="1"/>
    <col min="5" max="11" style="9589" width="10.140625" hidden="1" customWidth="1"/>
    <col min="12" max="12" style="9664" width="10.140625" hidden="1" customWidth="1"/>
    <col min="13" max="15" style="10533" width="10.140625" hidden="1" customWidth="1"/>
    <col min="16" max="16" style="10532" width="3.00390625" customWidth="1"/>
    <col min="17" max="17" style="10718" width="3.00390625" customWidth="1"/>
    <col min="18" max="18" style="10534" width="3.00390625" customWidth="1"/>
    <col min="19" max="19" style="10535" width="12.00390625" customWidth="1"/>
    <col min="20" max="20" style="9589" width="31.00390625" customWidth="1"/>
    <col min="21" max="21" style="9589" width="0.140625" customWidth="1"/>
    <col min="22" max="23" style="9589" width="21.7109375" hidden="1" customWidth="1"/>
    <col min="24" max="24" style="9589" width="11.7109375" hidden="1" customWidth="1"/>
    <col min="25" max="25" style="9589" width="3.7109375" hidden="1" customWidth="1"/>
    <col min="26" max="26" style="9589" width="11.7109375" hidden="1" customWidth="1"/>
    <col min="27" max="27" style="9589" width="8.57421875" hidden="1" customWidth="1"/>
    <col min="28" max="28" style="9589" width="27.00390625" customWidth="1"/>
    <col min="29" max="29" style="9589" width="24.57421875" customWidth="1"/>
    <col min="30" max="31" style="9589" width="21.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122</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399</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400</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401</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402</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403</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404</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405</v>
      </c>
      <c r="AM5" s="1794"/>
      <c r="AN5" s="1794" t="str">
        <f>IF(T5="","",T5)</f>
        <v>Источник тепловой энергии  </v>
      </c>
      <c r="AO5" s="1794"/>
      <c r="AP5" s="1794"/>
      <c r="AQ5" s="1801">
        <v>0</v>
      </c>
    </row>
    <row s="9667" customFormat="1" customHeight="1" ht="0.75" hidden="1">
      <c r="A6" s="1545"/>
      <c r="B6" s="1545"/>
      <c r="C6" s="1545"/>
      <c r="D6" s="1545"/>
      <c r="E6" s="2460"/>
      <c r="F6" s="2460"/>
      <c r="G6" s="2460"/>
      <c r="H6" s="2460"/>
      <c r="I6" s="2297">
        <f>S5&amp;".1"</f>
      </c>
      <c r="J6" s="1545"/>
      <c r="K6" s="1545"/>
      <c r="L6" s="1551" t="s">
        <v>406</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9667"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65</v>
      </c>
      <c r="Z8" s="2162"/>
      <c r="AA8" s="2160" t="s">
        <v>65</v>
      </c>
      <c r="AB8" s="2166"/>
      <c r="AC8" s="2167" t="s">
        <v>28</v>
      </c>
      <c r="AD8" s="921"/>
      <c r="AE8" s="1427"/>
      <c r="AF8" s="2125"/>
      <c r="AG8" s="2112" t="s">
        <v>65</v>
      </c>
      <c r="AH8" s="2125"/>
      <c r="AI8" s="2112" t="s">
        <v>65</v>
      </c>
      <c r="AJ8" s="1518"/>
      <c r="AK8" s="2423" t="s">
        <v>464</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468</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9667"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9667"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9667"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417</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9667"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228</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9667"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229</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65</v>
      </c>
      <c r="AH16" s="1906"/>
      <c r="AI16" s="2136" t="s">
        <v>65</v>
      </c>
      <c r="AQ16" s="1801">
        <v>0</v>
      </c>
    </row>
    <row customHeight="1" ht="14.25" hidden="1">
      <c r="AL17" s="1811"/>
      <c r="AM17" s="1811"/>
      <c r="AN17" s="1811"/>
      <c r="AO17" s="1811"/>
      <c r="AP17" s="1811"/>
      <c r="AQ17" s="1801">
        <v>0</v>
      </c>
    </row>
    <row customHeight="1" ht="14.25" hidden="1">
      <c r="O18" s="1515" t="s">
        <v>418</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0689" customFormat="1" customHeight="1" ht="14.25" hidden="1">
      <c r="A20" s="2141"/>
      <c r="B20" s="2141"/>
      <c r="C20" s="2141"/>
      <c r="D20" s="2141"/>
      <c r="E20" s="2141"/>
      <c r="F20" s="2141"/>
      <c r="G20" s="2141"/>
      <c r="H20" s="2141"/>
      <c r="I20" s="2141"/>
      <c r="J20" s="2141"/>
      <c r="K20" s="2141"/>
      <c r="L20" s="2141"/>
      <c r="M20" s="2142"/>
      <c r="N20" s="2142"/>
      <c r="O20" s="2143" t="s">
        <v>419</v>
      </c>
      <c r="P20" s="1678"/>
      <c r="Q20" s="1680"/>
      <c r="R20" s="1680"/>
      <c r="Y20" s="1677" t="s">
        <v>421</v>
      </c>
      <c r="AA20" s="1677" t="s">
        <v>422</v>
      </c>
      <c r="AC20" s="1677" t="s">
        <v>470</v>
      </c>
      <c r="AG20" s="1677" t="s">
        <v>421</v>
      </c>
      <c r="AI20" s="1677" t="s">
        <v>422</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9793"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9793"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424</v>
      </c>
      <c r="T28" s="2420"/>
      <c r="U28" s="1542"/>
      <c r="V28" s="2434" t="str">
        <f>IF(TITLE_DATE_PR_CHANGE="",IF(TITLE_DATE_PR="","",TITLE_DATE_PR),TITLE_DATE_PR_CHANGE)</f>
        <v>45408.40866898148</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9793"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425</v>
      </c>
      <c r="T29" s="2420"/>
      <c r="U29" s="1542"/>
      <c r="V29" s="2421" t="str">
        <f>IF(TITLE_NUMBER_PR_CHANGE="",IF(TITLE_NUMBER_PR="","",TITLE_NUMBER_PR),TITLE_NUMBER_PR_CHANGE)</f>
        <v>1005,1062</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9793"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9793"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424</v>
      </c>
      <c r="T32" s="2420"/>
      <c r="U32" s="1542"/>
      <c r="V32" s="2434" t="str">
        <f>IF(TITLE_DATE_PR_CHANGE="",IF(TITLE_DATE_PR="","",TITLE_DATE_PR),TITLE_DATE_PR_CHANGE)</f>
        <v>45408.40866898148</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9793"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425</v>
      </c>
      <c r="T33" s="2420"/>
      <c r="U33" s="1542"/>
      <c r="V33" s="2421" t="str">
        <f>IF(TITLE_NUMBER_PR_CHANGE="",IF(TITLE_NUMBER_PR="","",TITLE_NUMBER_PR),TITLE_NUMBER_PR_CHANGE)</f>
        <v>1005,1062</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9793"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428</v>
      </c>
      <c r="AB34" s="1812"/>
      <c r="AC34" s="1805"/>
      <c r="AD34" s="1805"/>
      <c r="AE34" s="1805"/>
      <c r="AF34" s="1805"/>
      <c r="AG34" s="1805"/>
      <c r="AH34" s="1805"/>
      <c r="AI34" s="1812" t="s">
        <v>428</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303</v>
      </c>
      <c r="T36" s="2297"/>
      <c r="U36" s="2297"/>
      <c r="V36" s="2297"/>
      <c r="W36" s="2297"/>
      <c r="X36" s="2297"/>
      <c r="Y36" s="2297"/>
      <c r="Z36" s="2297"/>
      <c r="AA36" s="2345"/>
      <c r="AB36" s="2345"/>
      <c r="AC36" s="2345"/>
      <c r="AD36" s="2297"/>
      <c r="AE36" s="2297"/>
      <c r="AF36" s="2297"/>
      <c r="AG36" s="2297"/>
      <c r="AH36" s="2297"/>
      <c r="AI36" s="2297"/>
      <c r="AJ36" s="2297"/>
      <c r="AK36" s="2297" t="s">
        <v>304</v>
      </c>
      <c r="AQ36" s="1801">
        <v>14</v>
      </c>
    </row>
    <row customHeight="1" ht="14.699999999999998">
      <c r="Q37" s="461"/>
      <c r="R37" s="546"/>
      <c r="S37" s="2443" t="s">
        <v>87</v>
      </c>
      <c r="T37" s="2379" t="s">
        <v>501</v>
      </c>
      <c r="U37" s="507"/>
      <c r="V37" s="2445"/>
      <c r="W37" s="2445"/>
      <c r="X37" s="2445"/>
      <c r="Y37" s="2445"/>
      <c r="Z37" s="2445"/>
      <c r="AA37" s="2379" t="s">
        <v>431</v>
      </c>
      <c r="AB37" s="2378" t="s">
        <v>502</v>
      </c>
      <c r="AC37" s="2378" t="s">
        <v>474</v>
      </c>
      <c r="AD37" s="2461" t="s">
        <v>430</v>
      </c>
      <c r="AE37" s="2461"/>
      <c r="AF37" s="2445"/>
      <c r="AG37" s="2445"/>
      <c r="AH37" s="2446"/>
      <c r="AI37" s="2447" t="s">
        <v>431</v>
      </c>
      <c r="AJ37" s="2450" t="s">
        <v>433</v>
      </c>
      <c r="AK37" s="2297"/>
      <c r="AQ37" s="1801">
        <v>14</v>
      </c>
    </row>
    <row customHeight="1" ht="35.699999999999996">
      <c r="Q38" s="461"/>
      <c r="R38" s="546"/>
      <c r="S38" s="2443"/>
      <c r="T38" s="2379"/>
      <c r="U38" s="1201"/>
      <c r="V38" s="2273" t="s">
        <v>477</v>
      </c>
      <c r="W38" s="2297"/>
      <c r="X38" s="2464" t="s">
        <v>437</v>
      </c>
      <c r="Y38" s="2483"/>
      <c r="Z38" s="2483"/>
      <c r="AA38" s="2379"/>
      <c r="AB38" s="2378"/>
      <c r="AC38" s="2378"/>
      <c r="AD38" s="2273" t="s">
        <v>477</v>
      </c>
      <c r="AE38" s="2297"/>
      <c r="AF38" s="2483" t="s">
        <v>437</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134</v>
      </c>
      <c r="C40" s="1436" t="s">
        <v>135</v>
      </c>
      <c r="D40" s="1436" t="s">
        <v>136</v>
      </c>
      <c r="E40" s="1480" t="s">
        <v>438</v>
      </c>
      <c r="F40" s="1480" t="s">
        <v>439</v>
      </c>
      <c r="G40" s="1480" t="s">
        <v>440</v>
      </c>
      <c r="H40" s="1480" t="s">
        <v>441</v>
      </c>
      <c r="I40" s="1480" t="s">
        <v>442</v>
      </c>
      <c r="J40" s="1480" t="s">
        <v>443</v>
      </c>
      <c r="K40" s="1480" t="s">
        <v>444</v>
      </c>
      <c r="L40" s="1480" t="s">
        <v>419</v>
      </c>
      <c r="Q40" s="461"/>
      <c r="R40" s="546"/>
      <c r="S40" s="2443"/>
      <c r="T40" s="2379"/>
      <c r="U40" s="472"/>
      <c r="V40" s="2120" t="s">
        <v>478</v>
      </c>
      <c r="W40" s="2120" t="s">
        <v>479</v>
      </c>
      <c r="X40" s="2108" t="s">
        <v>447</v>
      </c>
      <c r="Y40" s="2440" t="s">
        <v>448</v>
      </c>
      <c r="Z40" s="2490"/>
      <c r="AA40" s="2379"/>
      <c r="AB40" s="2378"/>
      <c r="AC40" s="2378"/>
      <c r="AD40" s="2138" t="s">
        <v>478</v>
      </c>
      <c r="AE40" s="2129" t="s">
        <v>479</v>
      </c>
      <c r="AF40" s="2108" t="s">
        <v>447</v>
      </c>
      <c r="AG40" s="2440" t="s">
        <v>448</v>
      </c>
      <c r="AH40" s="2441"/>
      <c r="AI40" s="2449"/>
      <c r="AJ40" s="2452"/>
      <c r="AK40" s="2297"/>
      <c r="AQ40" s="1801">
        <v>14</v>
      </c>
    </row>
    <row s="10287"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108</v>
      </c>
      <c r="T41" s="1425" t="s">
        <v>109</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203</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122</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203</v>
      </c>
      <c r="B43" s="1437" t="s">
        <v>204</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400</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401</v>
      </c>
      <c r="AM43" s="1794"/>
      <c r="AN43" s="1794" t="str">
        <f>IF(T43="","",T43)</f>
        <v>Территория действия тарифа</v>
      </c>
      <c r="AO43" s="1794"/>
      <c r="AP43" s="1794"/>
      <c r="AQ43" s="1801">
        <v>21</v>
      </c>
    </row>
    <row customHeight="1" ht="24">
      <c r="A44" s="1437" t="s">
        <v>203</v>
      </c>
      <c r="B44" s="1437" t="s">
        <v>204</v>
      </c>
      <c r="C44" s="1437" t="s">
        <v>205</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402</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403</v>
      </c>
      <c r="AM44" s="1794"/>
      <c r="AN44" s="1794" t="str">
        <f>IF(T44="","",T44)</f>
        <v>Наименование системы теплоснабжения </v>
      </c>
      <c r="AO44" s="1794"/>
      <c r="AP44" s="1794"/>
      <c r="AQ44" s="1801">
        <v>23</v>
      </c>
    </row>
    <row customHeight="1" ht="22.049999999999997">
      <c r="A45" s="1437" t="s">
        <v>203</v>
      </c>
      <c r="B45" s="1437" t="s">
        <v>204</v>
      </c>
      <c r="C45" s="1437" t="s">
        <v>205</v>
      </c>
      <c r="D45" s="1437" t="s">
        <v>206</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404</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405</v>
      </c>
      <c r="AM45" s="1794"/>
      <c r="AN45" s="1794" t="str">
        <f>IF(T45="","",T45)</f>
        <v>Источник тепловой энергии  </v>
      </c>
      <c r="AO45" s="1794"/>
      <c r="AP45" s="1794"/>
      <c r="AQ45" s="1801">
        <v>21</v>
      </c>
    </row>
    <row s="9667" customFormat="1" customHeight="1" ht="0">
      <c r="A46" s="1545" t="s">
        <v>203</v>
      </c>
      <c r="B46" s="1545" t="s">
        <v>204</v>
      </c>
      <c r="C46" s="1545" t="s">
        <v>205</v>
      </c>
      <c r="D46" s="1545" t="s">
        <v>206</v>
      </c>
      <c r="E46" s="2460"/>
      <c r="F46" s="2460"/>
      <c r="G46" s="2460"/>
      <c r="H46" s="2460"/>
      <c r="I46" s="2297" t="str">
        <f>S45&amp;".1"</f>
        <v>....1</v>
      </c>
      <c r="J46" s="1545"/>
      <c r="K46" s="1545"/>
      <c r="L46" s="1551" t="s">
        <v>406</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9667" customFormat="1" customHeight="1" ht="0">
      <c r="A47" s="1545" t="s">
        <v>203</v>
      </c>
      <c r="B47" s="1545" t="s">
        <v>204</v>
      </c>
      <c r="C47" s="1545" t="s">
        <v>205</v>
      </c>
      <c r="D47" s="1545" t="s">
        <v>206</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203</v>
      </c>
      <c r="B48" s="1437" t="s">
        <v>204</v>
      </c>
      <c r="C48" s="1437" t="s">
        <v>205</v>
      </c>
      <c r="D48" s="1437" t="s">
        <v>206</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65</v>
      </c>
      <c r="Z48" s="2125"/>
      <c r="AA48" s="2112" t="s">
        <v>65</v>
      </c>
      <c r="AB48" s="2134"/>
      <c r="AC48" s="2133" t="s">
        <v>28</v>
      </c>
      <c r="AD48" s="921"/>
      <c r="AE48" s="1427"/>
      <c r="AF48" s="2125"/>
      <c r="AG48" s="2112" t="s">
        <v>65</v>
      </c>
      <c r="AH48" s="2125"/>
      <c r="AI48" s="2112" t="s">
        <v>65</v>
      </c>
      <c r="AJ48" s="1518"/>
      <c r="AK48" s="2423" t="s">
        <v>480</v>
      </c>
      <c r="AL48" s="1806">
        <f>STRCHECKDATE(#REF!)</f>
      </c>
      <c r="AM48" s="1794"/>
      <c r="AN48" s="1794" t="str">
        <f>IF(T48="","",T48)</f>
        <v/>
      </c>
      <c r="AO48" s="1794"/>
      <c r="AP48" s="1794"/>
      <c r="AQ48" s="1801">
        <v>21</v>
      </c>
    </row>
    <row customHeight="1" ht="11.549999999999999">
      <c r="A49" s="1437" t="s">
        <v>203</v>
      </c>
      <c r="B49" s="1437" t="s">
        <v>204</v>
      </c>
      <c r="C49" s="1437" t="s">
        <v>205</v>
      </c>
      <c r="D49" s="1437" t="s">
        <v>206</v>
      </c>
      <c r="E49" s="2460"/>
      <c r="F49" s="2460"/>
      <c r="G49" s="2460"/>
      <c r="H49" s="2460"/>
      <c r="I49" s="2271"/>
      <c r="J49" s="2297"/>
      <c r="K49" s="1437"/>
      <c r="L49" s="1480"/>
      <c r="P49" s="2427"/>
      <c r="Q49" s="2427"/>
      <c r="R49" s="526"/>
      <c r="S49" s="1448"/>
      <c r="T49" s="457" t="s">
        <v>468</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9667" customFormat="1" customHeight="1" ht="1.05">
      <c r="A50" s="1545" t="s">
        <v>203</v>
      </c>
      <c r="B50" s="1545" t="s">
        <v>204</v>
      </c>
      <c r="C50" s="1545" t="s">
        <v>205</v>
      </c>
      <c r="D50" s="1545" t="s">
        <v>206</v>
      </c>
      <c r="E50" s="2460"/>
      <c r="F50" s="2460"/>
      <c r="G50" s="2460"/>
      <c r="H50" s="2460"/>
      <c r="I50" s="2297"/>
      <c r="J50" s="1545"/>
      <c r="K50" s="1545"/>
      <c r="L50" s="1551"/>
      <c r="M50" s="1416"/>
      <c r="N50" s="1416"/>
      <c r="O50" s="1416"/>
      <c r="P50" s="2427"/>
      <c r="Q50" s="2124"/>
      <c r="R50" s="526"/>
      <c r="S50" s="1556"/>
      <c r="T50" s="1557" t="s">
        <v>415</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10287" customFormat="1" customHeight="1" ht="1.05">
      <c r="A51" s="1545" t="s">
        <v>203</v>
      </c>
      <c r="B51" s="1545" t="s">
        <v>204</v>
      </c>
      <c r="C51" s="1545" t="s">
        <v>205</v>
      </c>
      <c r="D51" s="1545" t="s">
        <v>206</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9667" customFormat="1" customHeight="1" ht="1.05">
      <c r="A52" s="1545" t="s">
        <v>203</v>
      </c>
      <c r="B52" s="1545" t="s">
        <v>204</v>
      </c>
      <c r="C52" s="1545" t="s">
        <v>205</v>
      </c>
      <c r="D52" s="1544"/>
      <c r="E52" s="2460"/>
      <c r="F52" s="2460"/>
      <c r="G52" s="2459"/>
      <c r="H52" s="1544"/>
      <c r="I52" s="1544"/>
      <c r="J52" s="1544"/>
      <c r="K52" s="1544"/>
      <c r="L52" s="1547"/>
      <c r="M52" s="1548"/>
      <c r="N52" s="1548"/>
      <c r="O52" s="521"/>
      <c r="P52" s="1486"/>
      <c r="Q52" s="1487"/>
      <c r="R52" s="1486"/>
      <c r="S52" s="1492"/>
      <c r="T52" s="1495" t="s">
        <v>417</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9667" customFormat="1" customHeight="1" ht="1.05">
      <c r="A53" s="1545" t="s">
        <v>203</v>
      </c>
      <c r="B53" s="1545" t="s">
        <v>204</v>
      </c>
      <c r="C53" s="1544"/>
      <c r="D53" s="1544"/>
      <c r="E53" s="2460"/>
      <c r="F53" s="2459"/>
      <c r="G53" s="1544"/>
      <c r="H53" s="1544"/>
      <c r="I53" s="1544"/>
      <c r="J53" s="1544"/>
      <c r="K53" s="1544"/>
      <c r="L53" s="1547"/>
      <c r="M53" s="1549"/>
      <c r="N53" s="1549"/>
      <c r="O53" s="521"/>
      <c r="P53" s="1486"/>
      <c r="Q53" s="1487"/>
      <c r="R53" s="1486"/>
      <c r="S53" s="1492"/>
      <c r="T53" s="1495" t="s">
        <v>228</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9667" customFormat="1" customHeight="1" ht="1.05">
      <c r="A54" s="1545" t="s">
        <v>203</v>
      </c>
      <c r="B54" s="1545"/>
      <c r="C54" s="1545"/>
      <c r="D54" s="1545"/>
      <c r="E54" s="2460"/>
      <c r="F54" s="1545"/>
      <c r="G54" s="1545"/>
      <c r="H54" s="1545"/>
      <c r="I54" s="1545"/>
      <c r="J54" s="1545"/>
      <c r="K54" s="1545"/>
      <c r="L54" s="1551"/>
      <c r="M54" s="1549"/>
      <c r="N54" s="1549"/>
      <c r="O54" s="521"/>
      <c r="P54" s="550"/>
      <c r="Q54" s="1514"/>
      <c r="R54" s="550"/>
      <c r="S54" s="1492"/>
      <c r="T54" s="1495" t="s">
        <v>229</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9667" customFormat="1" customHeight="1" ht="1.05">
      <c r="A55" s="1545" t="s">
        <v>203</v>
      </c>
      <c r="B55" s="1545"/>
      <c r="C55" s="1545"/>
      <c r="D55" s="1545"/>
      <c r="E55" s="2459"/>
      <c r="F55" s="1545"/>
      <c r="G55" s="1545"/>
      <c r="H55" s="1545"/>
      <c r="I55" s="1545"/>
      <c r="J55" s="1545"/>
      <c r="K55" s="1545"/>
      <c r="L55" s="1551"/>
      <c r="M55" s="1549"/>
      <c r="N55" s="1549"/>
      <c r="O55" s="521"/>
      <c r="P55" s="550"/>
      <c r="Q55" s="1514"/>
      <c r="R55" s="550"/>
      <c r="S55" s="1492"/>
      <c r="T55" s="1495" t="s">
        <v>229</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9667"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230</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81</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6CB9E-3E7C-F6A1-F017-AF04E35519D3}" mc:Ignorable="x14ac xr xr2 xr3">
  <sheetPr>
    <tabColor theme="6" tint="0.4"/>
  </sheetPr>
  <dimension ref="A1:BI141"/>
  <sheetViews>
    <sheetView topLeftCell="A1" showGridLines="0" zoomScale="90" workbookViewId="0">
      <selection activeCell="BC52" sqref="BC52:BC129"/>
    </sheetView>
  </sheetViews>
  <sheetFormatPr defaultColWidth="10.57421875" customHeight="1" defaultRowHeight="14.25"/>
  <cols>
    <col min="1" max="1" style="9666" width="11.57421875" hidden="1" customWidth="1"/>
    <col min="2" max="2" style="9666" width="11.00390625" hidden="1" customWidth="1"/>
    <col min="3" max="3" style="9666" width="10.57421875" hidden="1"/>
    <col min="4" max="4" style="9666" width="12.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2" width="3.7109375" hidden="1" customWidth="1"/>
    <col min="17" max="17" style="10718" width="3.7109375" hidden="1" customWidth="1"/>
    <col min="18" max="18" style="10534" width="3.00390625" customWidth="1"/>
    <col min="19" max="19" style="10535" width="12.00390625" customWidth="1"/>
    <col min="20" max="20" style="9589" width="31.00390625" customWidth="1"/>
    <col min="21" max="21" style="9589" width="0.140625" customWidth="1"/>
    <col min="22" max="25" style="9589" width="21.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3.7109375" customWidth="1"/>
    <col min="31" max="32" style="9589" width="3.00390625" customWidth="1"/>
    <col min="33" max="33" style="9589" width="24.00390625" customWidth="1"/>
    <col min="34" max="34" style="9589" width="3.7109375" customWidth="1"/>
    <col min="35" max="36" style="9589" width="3.00390625" customWidth="1"/>
    <col min="37" max="37" style="9589" width="24.00390625" customWidth="1"/>
    <col min="38" max="38" style="9589" width="3.7109375" customWidth="1"/>
    <col min="39" max="40" style="9589" width="3.00390625" customWidth="1"/>
    <col min="41" max="41" style="9589" width="18.00390625" customWidth="1"/>
    <col min="42" max="42" style="9589" width="3.7109375" customWidth="1"/>
    <col min="43" max="44" style="9589" width="3.00390625" customWidth="1"/>
    <col min="45" max="45" style="9589" width="18.00390625" customWidth="1"/>
    <col min="46" max="49" style="9589" width="21.00390625" customWidth="1"/>
    <col min="50" max="50" style="9589" width="11.00390625" customWidth="1"/>
    <col min="51" max="51" style="9589" width="3.7109375" customWidth="1"/>
    <col min="52" max="52" style="9589" width="11.00390625" customWidth="1"/>
    <col min="53" max="53" style="9589" width="8.57421875" hidden="1" customWidth="1"/>
    <col min="54" max="54" style="9589" width="4.00390625" customWidth="1"/>
    <col min="55" max="55" style="9589" width="115.00390625" customWidth="1"/>
    <col min="56" max="60" style="9667" width="10.00390625" customWidth="1"/>
    <col min="61" max="61" style="958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122</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400</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401</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482</v>
      </c>
      <c r="BE4" s="670"/>
      <c r="BF4" s="670" t="str">
        <f>IF(T4="","",T4)</f>
        <v>Наименование централизованной системы холодного водоснабжения</v>
      </c>
      <c r="BG4" s="670"/>
      <c r="BH4" s="670"/>
      <c r="BI4" s="1325">
        <v>0</v>
      </c>
    </row>
    <row s="966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405</v>
      </c>
      <c r="BE5" s="670"/>
      <c r="BF5" s="670" t="str">
        <f>IF(T5="","",T5)</f>
        <v/>
      </c>
      <c r="BG5" s="670"/>
      <c r="BH5" s="670"/>
      <c r="BI5" s="681">
        <v>0</v>
      </c>
    </row>
    <row s="9667" customFormat="1" customHeight="1" ht="14.25" hidden="1">
      <c r="A6" s="1513"/>
      <c r="B6" s="1513"/>
      <c r="C6" s="1513"/>
      <c r="D6" s="1513"/>
      <c r="E6" s="2429"/>
      <c r="F6" s="2429"/>
      <c r="G6" s="2429"/>
      <c r="H6" s="2429"/>
      <c r="I6" s="2426" t="str">
        <f>S5&amp;".1"</f>
        <v>.1</v>
      </c>
      <c r="J6" s="1513"/>
      <c r="K6" s="1513"/>
      <c r="L6" s="1516" t="s">
        <v>406</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66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65</v>
      </c>
      <c r="AB8" s="1904"/>
      <c r="AC8" s="1629" t="s">
        <v>65</v>
      </c>
      <c r="AD8" s="2355" t="s">
        <v>65</v>
      </c>
      <c r="AE8" s="2496"/>
      <c r="AF8" s="2375">
        <v>1</v>
      </c>
      <c r="AG8" s="2533"/>
      <c r="AH8" s="2277" t="s">
        <v>65</v>
      </c>
      <c r="AI8" s="2496"/>
      <c r="AJ8" s="2375">
        <v>1</v>
      </c>
      <c r="AK8" s="2497" t="s">
        <v>28</v>
      </c>
      <c r="AL8" s="2277" t="s">
        <v>65</v>
      </c>
      <c r="AM8" s="2362"/>
      <c r="AN8" s="2375">
        <v>1</v>
      </c>
      <c r="AO8" s="2527"/>
      <c r="AP8" s="2528" t="s">
        <v>65</v>
      </c>
      <c r="AQ8" s="481"/>
      <c r="AR8" s="1633">
        <v>1</v>
      </c>
      <c r="AS8" s="1636" t="s">
        <v>28</v>
      </c>
      <c r="AT8" s="921"/>
      <c r="AU8" s="1427"/>
      <c r="AV8" s="921"/>
      <c r="AW8" s="1427"/>
      <c r="AX8" s="1904"/>
      <c r="AY8" s="1629" t="s">
        <v>65</v>
      </c>
      <c r="AZ8" s="1904"/>
      <c r="BA8" s="1629" t="s">
        <v>65</v>
      </c>
      <c r="BB8" s="1518"/>
      <c r="BC8" s="2423" t="s">
        <v>503</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504</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505</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506</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507</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667"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66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667"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667"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228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66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229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65</v>
      </c>
      <c r="AZ20" s="1906"/>
      <c r="BA20" s="1630" t="s">
        <v>65</v>
      </c>
      <c r="BI20" s="1325">
        <v>0</v>
      </c>
    </row>
    <row customHeight="1" ht="14.25" hidden="1">
      <c r="BD21" s="666"/>
      <c r="BE21" s="666"/>
      <c r="BF21" s="666"/>
      <c r="BG21" s="666"/>
      <c r="BH21" s="666"/>
      <c r="BI21" s="1325">
        <v>0</v>
      </c>
    </row>
    <row customHeight="1" ht="14.25" hidden="1">
      <c r="O22" s="1537" t="s">
        <v>418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89" customFormat="1" customHeight="1" ht="14.25" hidden="1">
      <c r="M24" s="1678"/>
      <c r="N24" s="1678"/>
      <c r="O24" s="1679" t="s">
        <v>419</v>
      </c>
      <c r="P24" s="1678"/>
      <c r="Q24" s="1680"/>
      <c r="R24" s="1680"/>
      <c r="AA24" s="1677" t="s">
        <v>421</v>
      </c>
      <c r="AC24" s="1677" t="s">
        <v>422</v>
      </c>
      <c r="AD24" s="1677" t="s">
        <v>469</v>
      </c>
      <c r="AH24" s="1677" t="s">
        <v>469</v>
      </c>
      <c r="AK24" s="1677" t="s">
        <v>508</v>
      </c>
      <c r="AL24" s="1677" t="s">
        <v>469</v>
      </c>
      <c r="AP24" s="1677" t="s">
        <v>469</v>
      </c>
      <c r="AY24" s="1677" t="s">
        <v>421</v>
      </c>
      <c r="BA24" s="1677" t="s">
        <v>422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"Водоканал"</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79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79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424</v>
      </c>
      <c r="T32" s="2420"/>
      <c r="U32" s="1542"/>
      <c r="V32" s="2434" t="str">
        <f>IF(TITLE_DATE_PR_CHANGE="",IF(TITLE_DATE_PR="","",TITLE_DATE_PR),TITLE_DATE_PR_CHANGE)</f>
        <v>45408.40866898148</v>
      </c>
      <c r="W32" s="2434"/>
      <c r="X32" s="2434"/>
      <c r="Y32" s="2434"/>
      <c r="Z32" s="2434"/>
      <c r="AA32" s="2434"/>
      <c r="AB32" s="2434"/>
      <c r="AC32" s="496"/>
      <c r="AD32" s="2434" t="str">
        <f>IF(TITLE_DATE_PR_CHANGE="",IF(TITLE_DATE_PR="","",TITLE_DATE_PR),TITLE_DATE_PR_CHANGE)</f>
        <v>45408.40866898148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79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425</v>
      </c>
      <c r="T33" s="2420"/>
      <c r="U33" s="1542"/>
      <c r="V33" s="2421" t="str">
        <f>IF(TITLE_NUMBER_PR_CHANGE="",IF(TITLE_NUMBER_PR="","",TITLE_NUMBER_PR),TITLE_NUMBER_PR_CHANGE)</f>
        <v>1005,1062</v>
      </c>
      <c r="W33" s="2421"/>
      <c r="X33" s="2421"/>
      <c r="Y33" s="2421"/>
      <c r="Z33" s="2421"/>
      <c r="AA33" s="2421"/>
      <c r="AB33" s="2421"/>
      <c r="AC33" s="496"/>
      <c r="AD33" s="2421" t="str">
        <f>IF(TITLE_NUMBER_PR_CHANGE="",IF(TITLE_NUMBER_PR="","",TITLE_NUMBER_PR),TITLE_NUMBER_PR_CHANGE)</f>
        <v>1005,1062</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79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793" customFormat="1" customHeight="1" ht="18.75">
      <c r="A36" s="1538"/>
      <c r="B36" s="1538"/>
      <c r="C36" s="1538"/>
      <c r="D36" s="1538"/>
      <c r="E36" s="1538"/>
      <c r="F36" s="1538"/>
      <c r="G36" s="1538"/>
      <c r="H36" s="1538"/>
      <c r="I36" s="1538"/>
      <c r="J36" s="1538"/>
      <c r="K36" s="1538"/>
      <c r="L36" s="1539"/>
      <c r="M36" s="1538"/>
      <c r="N36" s="1538"/>
      <c r="O36" s="1538"/>
      <c r="P36" s="1538"/>
      <c r="Q36" s="1538"/>
      <c r="S36" s="2420" t="s">
        <v>424</v>
      </c>
      <c r="T36" s="2420"/>
      <c r="U36" s="1542"/>
      <c r="V36" s="2434" t="str">
        <f>IF(TITLE_DATE_PR_CHANGE="",IF(TITLE_DATE_PR="","",TITLE_DATE_PR),TITLE_DATE_PR_CHANGE)</f>
        <v>45408.40866898148</v>
      </c>
      <c r="W36" s="2434"/>
      <c r="X36" s="2434"/>
      <c r="Y36" s="2434"/>
      <c r="Z36" s="2434"/>
      <c r="AA36" s="2434"/>
      <c r="AB36" s="2434"/>
      <c r="AC36" s="496"/>
      <c r="AD36" s="2434" t="str">
        <f>IF(TITLE_DATE_PR_CHANGE="",IF(TITLE_DATE_PR="","",TITLE_DATE_PR),TITLE_DATE_PR_CHANGE)</f>
        <v>45408.40866898148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793" customFormat="1" customHeight="1" ht="18.75">
      <c r="A37" s="1538"/>
      <c r="B37" s="1538"/>
      <c r="C37" s="1538"/>
      <c r="D37" s="1538"/>
      <c r="E37" s="1538"/>
      <c r="F37" s="1538"/>
      <c r="G37" s="1538"/>
      <c r="H37" s="1538"/>
      <c r="I37" s="1538"/>
      <c r="J37" s="1538"/>
      <c r="K37" s="1538"/>
      <c r="L37" s="1539"/>
      <c r="M37" s="1538"/>
      <c r="N37" s="1538"/>
      <c r="O37" s="1538"/>
      <c r="P37" s="1538"/>
      <c r="Q37" s="1538"/>
      <c r="S37" s="2420" t="s">
        <v>425</v>
      </c>
      <c r="T37" s="2420"/>
      <c r="U37" s="1542"/>
      <c r="V37" s="2421" t="str">
        <f>IF(TITLE_NUMBER_PR_CHANGE="",IF(TITLE_NUMBER_PR="","",TITLE_NUMBER_PR),TITLE_NUMBER_PR_CHANGE)</f>
        <v>1005,1062</v>
      </c>
      <c r="W37" s="2421"/>
      <c r="X37" s="2421"/>
      <c r="Y37" s="2421"/>
      <c r="Z37" s="2421"/>
      <c r="AA37" s="2421"/>
      <c r="AB37" s="2421"/>
      <c r="AC37" s="496"/>
      <c r="AD37" s="2421" t="str">
        <f>IF(TITLE_NUMBER_PR_CHANGE="",IF(TITLE_NUMBER_PR="","",TITLE_NUMBER_PR),TITLE_NUMBER_PR_CHANGE)</f>
        <v>1005,1062</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79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303</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304</v>
      </c>
      <c r="BI40" s="1325">
        <v>14</v>
      </c>
    </row>
    <row customHeight="1" ht="14.699999999999998">
      <c r="Q41" s="461"/>
      <c r="R41" s="546"/>
      <c r="S41" s="2443" t="s">
        <v>87</v>
      </c>
      <c r="T41" s="2379" t="s">
        <v>509</v>
      </c>
      <c r="U41" s="471"/>
      <c r="V41" s="2444" t="s">
        <v>430</v>
      </c>
      <c r="W41" s="2445"/>
      <c r="X41" s="2445"/>
      <c r="Y41" s="2445"/>
      <c r="Z41" s="2445"/>
      <c r="AA41" s="2445"/>
      <c r="AB41" s="2446"/>
      <c r="AC41" s="2447" t="s">
        <v>431</v>
      </c>
      <c r="AD41" s="2498" t="s">
        <v>510</v>
      </c>
      <c r="AE41" s="2461"/>
      <c r="AF41" s="2461"/>
      <c r="AG41" s="2499"/>
      <c r="AH41" s="2498" t="s">
        <v>511</v>
      </c>
      <c r="AI41" s="2461"/>
      <c r="AJ41" s="2461"/>
      <c r="AK41" s="2499"/>
      <c r="AL41" s="2498" t="s">
        <v>512</v>
      </c>
      <c r="AM41" s="2461"/>
      <c r="AN41" s="2461"/>
      <c r="AO41" s="2499"/>
      <c r="AP41" s="2498" t="s">
        <v>513</v>
      </c>
      <c r="AQ41" s="2461"/>
      <c r="AR41" s="2461"/>
      <c r="AS41" s="2499"/>
      <c r="AT41" s="2444" t="s">
        <v>430</v>
      </c>
      <c r="AU41" s="2445"/>
      <c r="AV41" s="2445"/>
      <c r="AW41" s="2445"/>
      <c r="AX41" s="2445"/>
      <c r="AY41" s="2445"/>
      <c r="AZ41" s="2446"/>
      <c r="BA41" s="2447" t="s">
        <v>431</v>
      </c>
      <c r="BB41" s="2450" t="s">
        <v>433</v>
      </c>
      <c r="BC41" s="2297"/>
      <c r="BI41" s="1325">
        <v>14</v>
      </c>
    </row>
    <row customHeight="1" ht="35.699999999999996">
      <c r="Q42" s="461"/>
      <c r="R42" s="546"/>
      <c r="S42" s="2443"/>
      <c r="T42" s="2379"/>
      <c r="U42" s="1201"/>
      <c r="V42" s="2362" t="s">
        <v>514</v>
      </c>
      <c r="W42" s="2363"/>
      <c r="X42" s="2362" t="s">
        <v>515</v>
      </c>
      <c r="Y42" s="2363"/>
      <c r="Z42" s="2464" t="s">
        <v>516</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514</v>
      </c>
      <c r="AU42" s="2363"/>
      <c r="AV42" s="2362" t="s">
        <v>515</v>
      </c>
      <c r="AW42" s="2363"/>
      <c r="AX42" s="2464" t="s">
        <v>516</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134</v>
      </c>
      <c r="C44" s="1540" t="s">
        <v>135</v>
      </c>
      <c r="D44" s="1540" t="s">
        <v>136</v>
      </c>
      <c r="E44" s="1534" t="s">
        <v>438</v>
      </c>
      <c r="F44" s="1534" t="s">
        <v>439</v>
      </c>
      <c r="G44" s="1534" t="s">
        <v>440</v>
      </c>
      <c r="H44" s="1534" t="s">
        <v>441</v>
      </c>
      <c r="I44" s="1534" t="s">
        <v>442</v>
      </c>
      <c r="J44" s="1534" t="s">
        <v>443</v>
      </c>
      <c r="K44" s="1534" t="s">
        <v>444</v>
      </c>
      <c r="L44" s="1534" t="s">
        <v>419</v>
      </c>
      <c r="Q44" s="461"/>
      <c r="R44" s="546"/>
      <c r="S44" s="2443"/>
      <c r="T44" s="2379"/>
      <c r="U44" s="472"/>
      <c r="V44" s="1618" t="s">
        <v>478</v>
      </c>
      <c r="W44" s="1618" t="s">
        <v>479</v>
      </c>
      <c r="X44" s="1618" t="s">
        <v>478</v>
      </c>
      <c r="Y44" s="1618" t="s">
        <v>479</v>
      </c>
      <c r="Z44" s="1625" t="s">
        <v>447</v>
      </c>
      <c r="AA44" s="2440" t="s">
        <v>448</v>
      </c>
      <c r="AB44" s="2441"/>
      <c r="AC44" s="2449"/>
      <c r="AD44" s="2503"/>
      <c r="AE44" s="2504"/>
      <c r="AF44" s="2504"/>
      <c r="AG44" s="2505"/>
      <c r="AH44" s="2503"/>
      <c r="AI44" s="2504"/>
      <c r="AJ44" s="2504"/>
      <c r="AK44" s="2505"/>
      <c r="AL44" s="2503"/>
      <c r="AM44" s="2504"/>
      <c r="AN44" s="2504"/>
      <c r="AO44" s="2505"/>
      <c r="AP44" s="2503"/>
      <c r="AQ44" s="2504"/>
      <c r="AR44" s="2504"/>
      <c r="AS44" s="2505"/>
      <c r="AT44" s="1618" t="s">
        <v>478</v>
      </c>
      <c r="AU44" s="1618" t="s">
        <v>479</v>
      </c>
      <c r="AV44" s="1618" t="s">
        <v>478</v>
      </c>
      <c r="AW44" s="1618" t="s">
        <v>479</v>
      </c>
      <c r="AX44" s="1625" t="s">
        <v>447</v>
      </c>
      <c r="AY44" s="2440" t="s">
        <v>448</v>
      </c>
      <c r="AZ44" s="2441"/>
      <c r="BA44" s="2449"/>
      <c r="BB44" s="2452"/>
      <c r="BC44" s="2297"/>
      <c r="BI44" s="1325">
        <v>14</v>
      </c>
    </row>
    <row s="10287"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249</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1</v>
      </c>
      <c r="T46" s="468" t="s">
        <v>122</v>
      </c>
      <c r="U46" s="470"/>
      <c r="V46" s="2413"/>
      <c r="W46" s="2413"/>
      <c r="X46" s="2413"/>
      <c r="Y46" s="2413"/>
      <c r="Z46" s="2413"/>
      <c r="AA46" s="2413"/>
      <c r="AB46" s="2413"/>
      <c r="AC46" s="2414"/>
      <c r="AD46" s="2412" t="str">
        <f>INDEX(PT_DIFFERENTIATION_NTAR,MATCH(A46,PT_DIFFERENTIATION_NTAR_ID,0))</f>
        <v>Тариф на подключение (технологическое присоединение) к централизованной системе холодного водоснабжения</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249</v>
      </c>
      <c r="B47" s="1533" t="s">
        <v>250</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1.1</v>
      </c>
      <c r="T47" s="478" t="s">
        <v>400</v>
      </c>
      <c r="U47" s="470"/>
      <c r="V47" s="2413"/>
      <c r="W47" s="2413"/>
      <c r="X47" s="2413"/>
      <c r="Y47" s="2413"/>
      <c r="Z47" s="2413"/>
      <c r="AA47" s="2413"/>
      <c r="AB47" s="2413"/>
      <c r="AC47" s="2414"/>
      <c r="AD47" s="2412" t="str">
        <f>INDEX(PT_DIFFERENTIATION_TER,MATCH(B47,PT_DIFFERENTIATION_TER_ID,0))</f>
        <v>Территория 1</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401</v>
      </c>
      <c r="BE47" s="670"/>
      <c r="BF47" s="670" t="str">
        <f>IF(T47="","",T47)</f>
        <v>Территория действия тарифа</v>
      </c>
      <c r="BG47" s="670"/>
      <c r="BH47" s="670"/>
      <c r="BI47" s="1325">
        <v>21</v>
      </c>
    </row>
    <row customHeight="1" ht="43.050000000000004">
      <c r="A48" s="1533" t="s">
        <v>249</v>
      </c>
      <c r="B48" s="1533" t="s">
        <v>250</v>
      </c>
      <c r="C48" s="1533" t="s">
        <v>251</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1.1.1</v>
      </c>
      <c r="T48" s="479" t="s">
        <v>481</v>
      </c>
      <c r="U48" s="470"/>
      <c r="V48" s="2413"/>
      <c r="W48" s="2413"/>
      <c r="X48" s="2413"/>
      <c r="Y48" s="2413"/>
      <c r="Z48" s="2413"/>
      <c r="AA48" s="2413"/>
      <c r="AB48" s="2413"/>
      <c r="AC48" s="2414"/>
      <c r="AD48" s="2412" t="str">
        <f>INDEX(PT_DIFFERENTIATION_CS,MATCH(C48,PT_DIFFERENTIATION_CS_ID,0))</f>
        <v>без дифференциации</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482</v>
      </c>
      <c r="BE48" s="670"/>
      <c r="BF48" s="670" t="str">
        <f>IF(T48="","",T48)</f>
        <v>Наименование централизованной системы холодного водоснабжения</v>
      </c>
      <c r="BG48" s="670"/>
      <c r="BH48" s="670"/>
      <c r="BI48" s="1325">
        <v>41</v>
      </c>
    </row>
    <row s="9667" customFormat="1" customHeight="1" ht="0">
      <c r="A49" s="1513" t="s">
        <v>249</v>
      </c>
      <c r="B49" s="1513" t="s">
        <v>250</v>
      </c>
      <c r="C49" s="1513" t="s">
        <v>251</v>
      </c>
      <c r="D49" s="1513" t="s">
        <v>517</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405</v>
      </c>
      <c r="BE49" s="670"/>
      <c r="BF49" s="670" t="str">
        <f>IF(T49="","",T49)</f>
        <v/>
      </c>
      <c r="BG49" s="670"/>
      <c r="BH49" s="670"/>
      <c r="BI49" s="681">
        <v>0</v>
      </c>
    </row>
    <row s="9667" customFormat="1" customHeight="1" ht="0">
      <c r="A50" s="1513" t="s">
        <v>249</v>
      </c>
      <c r="B50" s="1513" t="s">
        <v>250</v>
      </c>
      <c r="C50" s="1513" t="s">
        <v>251</v>
      </c>
      <c r="D50" s="1513" t="s">
        <v>517</v>
      </c>
      <c r="E50" s="2429"/>
      <c r="F50" s="2429"/>
      <c r="G50" s="2429"/>
      <c r="H50" s="2429"/>
      <c r="I50" s="2426" t="str">
        <f>S49&amp;".1"</f>
        <v>.1</v>
      </c>
      <c r="J50" s="1513"/>
      <c r="K50" s="1513"/>
      <c r="L50" s="1516" t="s">
        <v>406</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667" customFormat="1" customHeight="1" ht="0">
      <c r="A51" s="1513" t="s">
        <v>249</v>
      </c>
      <c r="B51" s="1513" t="s">
        <v>250</v>
      </c>
      <c r="C51" s="1513" t="s">
        <v>251</v>
      </c>
      <c r="D51" s="1513" t="s">
        <v>517</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249</v>
      </c>
      <c r="B52" s="1533" t="s">
        <v>250</v>
      </c>
      <c r="C52" s="1533" t="s">
        <v>251</v>
      </c>
      <c r="D52" s="1533" t="s">
        <v>517</v>
      </c>
      <c r="E52" s="2429"/>
      <c r="F52" s="2429"/>
      <c r="G52" s="2429"/>
      <c r="H52" s="2429"/>
      <c r="I52" s="2456"/>
      <c r="J52" s="2456"/>
      <c r="K52" s="2426" t="str">
        <f>S48&amp;".1"</f>
        <v>1.1.1.1</v>
      </c>
      <c r="L52" s="1534"/>
      <c r="P52" s="2427"/>
      <c r="Q52" s="2427"/>
      <c r="R52" s="527">
        <v>1</v>
      </c>
      <c r="S52" s="2511" t="str">
        <f>$K52</f>
        <v>1.1.1.1</v>
      </c>
      <c r="T52" s="2530" t="s">
        <v>246</v>
      </c>
      <c r="U52" s="470"/>
      <c r="V52" s="921"/>
      <c r="W52" s="1427"/>
      <c r="X52" s="921"/>
      <c r="Y52" s="1427"/>
      <c r="Z52" s="1904"/>
      <c r="AA52" s="1629" t="s">
        <v>65</v>
      </c>
      <c r="AB52" s="1904"/>
      <c r="AC52" s="1629" t="s">
        <v>65</v>
      </c>
      <c r="AD52" s="2355" t="s">
        <v>65</v>
      </c>
      <c r="AE52" s="2496"/>
      <c r="AF52" s="2375">
        <v>1</v>
      </c>
      <c r="AG52" s="2533">
        <v>250</v>
      </c>
      <c r="AH52" s="2277" t="s">
        <v>65</v>
      </c>
      <c r="AI52" s="2496"/>
      <c r="AJ52" s="2375">
        <v>1</v>
      </c>
      <c r="AK52" s="6933" t="s">
        <v>518</v>
      </c>
      <c r="AL52" s="2277" t="s">
        <v>19</v>
      </c>
      <c r="AM52" s="2362"/>
      <c r="AN52" s="2375">
        <v>1</v>
      </c>
      <c r="AO52" s="6934" t="s">
        <v>28</v>
      </c>
      <c r="AP52" s="2528" t="s">
        <v>65</v>
      </c>
      <c r="AQ52" s="481"/>
      <c r="AR52" s="1633">
        <v>1</v>
      </c>
      <c r="AS52" s="1636" t="s">
        <v>519</v>
      </c>
      <c r="AT52" s="921"/>
      <c r="AU52" s="1427">
        <v>37.22328</v>
      </c>
      <c r="AV52" s="921"/>
      <c r="AW52" s="1427">
        <v>5.85453</v>
      </c>
      <c r="AX52" s="6935">
        <v>45658</v>
      </c>
      <c r="AY52" s="1629" t="s">
        <v>65</v>
      </c>
      <c r="AZ52" s="6935">
        <v>46022</v>
      </c>
      <c r="BA52" s="1629" t="s">
        <v>65</v>
      </c>
      <c r="BB52" s="1518"/>
      <c r="BC52" s="2423" t="s">
        <v>503</v>
      </c>
      <c r="BE52" s="670"/>
      <c r="BF52" s="670" t="str">
        <f>IF(T52="","",T52)</f>
        <v>Тариф на подключение (технологическое присоединение) к централизованной системе холодного водоснабжения</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6933" t="s">
        <v>28</v>
      </c>
      <c r="AL53" s="2277"/>
      <c r="AM53" s="2370"/>
      <c r="AN53" s="2375"/>
      <c r="AO53" s="6934" t="s">
        <v>28</v>
      </c>
      <c r="AP53" s="2529"/>
      <c r="AQ53" s="486"/>
      <c r="AR53" s="586"/>
      <c r="AS53" s="586" t="s">
        <v>504</v>
      </c>
      <c r="AT53" s="1563"/>
      <c r="AU53" s="1666"/>
      <c r="AV53" s="1563"/>
      <c r="AW53" s="1666"/>
      <c r="AX53" s="1563"/>
      <c r="AY53" s="1563"/>
      <c r="AZ53" s="1563"/>
      <c r="BA53" s="1563"/>
      <c r="BB53" s="1567"/>
      <c r="BC53" s="2424"/>
      <c r="BE53" s="670"/>
      <c r="BF53" s="670"/>
      <c r="BG53" s="670"/>
      <c r="BH53" s="670"/>
      <c r="BI53" s="1325">
        <v>11</v>
      </c>
    </row>
    <row customHeight="1" ht="11.549999999999999">
      <c r="A54" s="1533" t="s">
        <v>249</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6933" t="s">
        <v>28</v>
      </c>
      <c r="AL54" s="2277"/>
      <c r="AM54" s="486"/>
      <c r="AN54" s="1670"/>
      <c r="AO54" s="1670" t="s">
        <v>505</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4.25">
      <c r="A55" s="6936"/>
      <c r="B55" s="6936"/>
      <c r="C55" s="6936"/>
      <c r="D55" s="6936"/>
      <c r="E55" s="6937"/>
      <c r="F55" s="6937"/>
      <c r="G55" s="6937"/>
      <c r="H55" s="6937"/>
      <c r="I55" s="6938"/>
      <c r="J55" s="6938"/>
      <c r="K55" s="6939" t="str">
        <f>S51&amp;".1"</f>
        <v>.1</v>
      </c>
      <c r="L55" s="6940"/>
      <c r="M55" s="6941"/>
      <c r="N55" s="6941"/>
      <c r="O55" s="6941"/>
      <c r="P55" s="6942"/>
      <c r="Q55" s="6942"/>
      <c r="R55" s="6943">
        <v>1</v>
      </c>
      <c r="S55" s="6944" t="str">
        <f>$K55</f>
        <v>.1</v>
      </c>
      <c r="T55" s="6945"/>
      <c r="U55" s="6946"/>
      <c r="V55" s="6947"/>
      <c r="W55" s="6948"/>
      <c r="X55" s="6947"/>
      <c r="Y55" s="6948"/>
      <c r="Z55" s="6935"/>
      <c r="AA55" s="6949" t="s">
        <v>65</v>
      </c>
      <c r="AB55" s="6935"/>
      <c r="AC55" s="6949" t="s">
        <v>65</v>
      </c>
      <c r="AD55" s="6060" t="s">
        <v>65</v>
      </c>
      <c r="AE55" s="6950"/>
      <c r="AF55" s="6951">
        <v>1</v>
      </c>
      <c r="AG55" s="6952"/>
      <c r="AH55" s="6949" t="s">
        <v>65</v>
      </c>
      <c r="AI55" s="6953" t="s">
        <v>489</v>
      </c>
      <c r="AJ55" s="6951" t="s">
        <v>109</v>
      </c>
      <c r="AK55" s="6954" t="s">
        <v>520</v>
      </c>
      <c r="AL55" s="6949" t="s">
        <v>19</v>
      </c>
      <c r="AM55" s="6955"/>
      <c r="AN55" s="6951">
        <v>1</v>
      </c>
      <c r="AO55" s="6956" t="s">
        <v>28</v>
      </c>
      <c r="AP55" s="6957" t="s">
        <v>65</v>
      </c>
      <c r="AQ55" s="6958"/>
      <c r="AR55" s="6951">
        <v>1</v>
      </c>
      <c r="AS55" s="6959" t="s">
        <v>519</v>
      </c>
      <c r="AT55" s="6947"/>
      <c r="AU55" s="6948">
        <v>37.22328</v>
      </c>
      <c r="AV55" s="6947"/>
      <c r="AW55" s="6948">
        <v>16.77213</v>
      </c>
      <c r="AX55" s="6935">
        <v>45658</v>
      </c>
      <c r="AY55" s="6949" t="s">
        <v>65</v>
      </c>
      <c r="AZ55" s="6935">
        <v>46022</v>
      </c>
      <c r="BA55" s="6949" t="s">
        <v>65</v>
      </c>
      <c r="BB55" s="6960"/>
      <c r="BC55" s="6961" t="s">
        <v>503</v>
      </c>
      <c r="BD55" s="6962"/>
      <c r="BE55" s="6963"/>
      <c r="BF55" s="6963" t="str">
        <f>IF(T55="","",T55)</f>
        <v/>
      </c>
      <c r="BG55" s="6963"/>
      <c r="BH55" s="6963"/>
      <c r="BI55" s="6964">
        <v>0</v>
      </c>
    </row>
    <row customHeight="1" ht="14.25">
      <c r="A56" s="6936"/>
      <c r="B56" s="6936"/>
      <c r="C56" s="6936"/>
      <c r="D56" s="6936"/>
      <c r="E56" s="6937"/>
      <c r="F56" s="6937"/>
      <c r="G56" s="6937"/>
      <c r="H56" s="6937"/>
      <c r="I56" s="6938"/>
      <c r="J56" s="6938"/>
      <c r="K56" s="6939"/>
      <c r="L56" s="6940"/>
      <c r="M56" s="6941"/>
      <c r="N56" s="6941"/>
      <c r="O56" s="6941"/>
      <c r="P56" s="6942"/>
      <c r="Q56" s="6942"/>
      <c r="R56" s="6943"/>
      <c r="S56" s="6965"/>
      <c r="T56" s="6966"/>
      <c r="U56" s="6946"/>
      <c r="V56" s="6967"/>
      <c r="W56" s="6968"/>
      <c r="X56" s="6969"/>
      <c r="Y56" s="6970"/>
      <c r="Z56" s="6971"/>
      <c r="AA56" s="6972"/>
      <c r="AB56" s="6973"/>
      <c r="AC56" s="6974"/>
      <c r="AD56" s="6066"/>
      <c r="AE56" s="6950"/>
      <c r="AF56" s="6951"/>
      <c r="AG56" s="6952"/>
      <c r="AH56" s="6949"/>
      <c r="AI56" s="6950"/>
      <c r="AJ56" s="6951">
        <v>1</v>
      </c>
      <c r="AK56" s="6954"/>
      <c r="AL56" s="6949"/>
      <c r="AM56" s="6975"/>
      <c r="AN56" s="6951"/>
      <c r="AO56" s="6956" t="s">
        <v>28</v>
      </c>
      <c r="AP56" s="6976"/>
      <c r="AQ56" s="6977"/>
      <c r="AR56" s="6978"/>
      <c r="AS56" s="6979" t="s">
        <v>504</v>
      </c>
      <c r="AT56" s="6980"/>
      <c r="AU56" s="6981"/>
      <c r="AV56" s="6982"/>
      <c r="AW56" s="6983"/>
      <c r="AX56" s="6984"/>
      <c r="AY56" s="6985"/>
      <c r="AZ56" s="6986"/>
      <c r="BA56" s="6987"/>
      <c r="BB56" s="6988"/>
      <c r="BC56" s="6989"/>
      <c r="BD56" s="6962"/>
      <c r="BE56" s="6963"/>
      <c r="BF56" s="6963"/>
      <c r="BG56" s="6963"/>
      <c r="BH56" s="6963"/>
      <c r="BI56" s="6964">
        <v>0</v>
      </c>
    </row>
    <row customHeight="1" ht="14.25">
      <c r="A57" s="6936"/>
      <c r="B57" s="6936"/>
      <c r="C57" s="6936"/>
      <c r="D57" s="6936"/>
      <c r="E57" s="6937"/>
      <c r="F57" s="6937"/>
      <c r="G57" s="6937"/>
      <c r="H57" s="6937"/>
      <c r="I57" s="6938"/>
      <c r="J57" s="6938"/>
      <c r="K57" s="6939"/>
      <c r="L57" s="6940"/>
      <c r="M57" s="6941"/>
      <c r="N57" s="6941"/>
      <c r="O57" s="6941"/>
      <c r="P57" s="6942"/>
      <c r="Q57" s="6942"/>
      <c r="R57" s="6943"/>
      <c r="S57" s="6965"/>
      <c r="T57" s="6966"/>
      <c r="U57" s="6946"/>
      <c r="V57" s="6990"/>
      <c r="W57" s="6991"/>
      <c r="X57" s="6992"/>
      <c r="Y57" s="6993"/>
      <c r="Z57" s="6994"/>
      <c r="AA57" s="6995"/>
      <c r="AB57" s="6996"/>
      <c r="AC57" s="6997"/>
      <c r="AD57" s="6066"/>
      <c r="AE57" s="6950"/>
      <c r="AF57" s="6951"/>
      <c r="AG57" s="6952"/>
      <c r="AH57" s="6949"/>
      <c r="AI57" s="6950"/>
      <c r="AJ57" s="6951">
        <v>1</v>
      </c>
      <c r="AK57" s="6954"/>
      <c r="AL57" s="6949"/>
      <c r="AM57" s="6998"/>
      <c r="AN57" s="6999"/>
      <c r="AO57" s="7000" t="s">
        <v>505</v>
      </c>
      <c r="AP57" s="7001"/>
      <c r="AQ57" s="7002"/>
      <c r="AR57" s="7003"/>
      <c r="AS57" s="7004"/>
      <c r="AT57" s="7005"/>
      <c r="AU57" s="7006"/>
      <c r="AV57" s="7007"/>
      <c r="AW57" s="7008"/>
      <c r="AX57" s="7009"/>
      <c r="AY57" s="7010"/>
      <c r="AZ57" s="7011"/>
      <c r="BA57" s="7012"/>
      <c r="BB57" s="7013"/>
      <c r="BC57" s="6989"/>
      <c r="BD57" s="6962"/>
      <c r="BE57" s="6963"/>
      <c r="BF57" s="6963"/>
      <c r="BG57" s="6963"/>
      <c r="BH57" s="6963"/>
      <c r="BI57" s="6964">
        <v>0</v>
      </c>
    </row>
    <row customHeight="1" ht="14.25">
      <c r="A58" s="6936"/>
      <c r="B58" s="6936"/>
      <c r="C58" s="6936"/>
      <c r="D58" s="6936"/>
      <c r="E58" s="6937"/>
      <c r="F58" s="6937"/>
      <c r="G58" s="6937"/>
      <c r="H58" s="6937"/>
      <c r="I58" s="6938"/>
      <c r="J58" s="6938"/>
      <c r="K58" s="6939" t="str">
        <f>S54&amp;".1"</f>
        <v>.1</v>
      </c>
      <c r="L58" s="6940"/>
      <c r="M58" s="6941"/>
      <c r="N58" s="6941"/>
      <c r="O58" s="6941"/>
      <c r="P58" s="6942"/>
      <c r="Q58" s="6942"/>
      <c r="R58" s="6943">
        <v>1</v>
      </c>
      <c r="S58" s="6944" t="str">
        <f>$K58</f>
        <v>.1</v>
      </c>
      <c r="T58" s="6945"/>
      <c r="U58" s="6946"/>
      <c r="V58" s="6947"/>
      <c r="W58" s="6948"/>
      <c r="X58" s="6947"/>
      <c r="Y58" s="6948"/>
      <c r="Z58" s="6935"/>
      <c r="AA58" s="6949" t="s">
        <v>65</v>
      </c>
      <c r="AB58" s="6935"/>
      <c r="AC58" s="6949" t="s">
        <v>65</v>
      </c>
      <c r="AD58" s="6060" t="s">
        <v>65</v>
      </c>
      <c r="AE58" s="6950"/>
      <c r="AF58" s="6951">
        <v>1</v>
      </c>
      <c r="AG58" s="6952"/>
      <c r="AH58" s="6949" t="s">
        <v>65</v>
      </c>
      <c r="AI58" s="6953" t="s">
        <v>489</v>
      </c>
      <c r="AJ58" s="6951" t="s">
        <v>89</v>
      </c>
      <c r="AK58" s="6954" t="s">
        <v>521</v>
      </c>
      <c r="AL58" s="6949" t="s">
        <v>19</v>
      </c>
      <c r="AM58" s="6955"/>
      <c r="AN58" s="6951">
        <v>1</v>
      </c>
      <c r="AO58" s="6956" t="s">
        <v>28</v>
      </c>
      <c r="AP58" s="6957" t="s">
        <v>65</v>
      </c>
      <c r="AQ58" s="6958"/>
      <c r="AR58" s="6951">
        <v>1</v>
      </c>
      <c r="AS58" s="6959" t="s">
        <v>519</v>
      </c>
      <c r="AT58" s="6947"/>
      <c r="AU58" s="6948">
        <v>37.22328</v>
      </c>
      <c r="AV58" s="6947"/>
      <c r="AW58" s="6948">
        <v>10.1698</v>
      </c>
      <c r="AX58" s="6935">
        <v>45658</v>
      </c>
      <c r="AY58" s="6949" t="s">
        <v>65</v>
      </c>
      <c r="AZ58" s="6935">
        <v>46022</v>
      </c>
      <c r="BA58" s="6949" t="s">
        <v>65</v>
      </c>
      <c r="BB58" s="6960"/>
      <c r="BC58" s="6961" t="s">
        <v>503</v>
      </c>
      <c r="BD58" s="6962"/>
      <c r="BE58" s="6963"/>
      <c r="BF58" s="6963" t="str">
        <f>IF(T58="","",T58)</f>
        <v/>
      </c>
      <c r="BG58" s="6963"/>
      <c r="BH58" s="6963"/>
      <c r="BI58" s="6964">
        <v>0</v>
      </c>
    </row>
    <row customHeight="1" ht="14.25">
      <c r="A59" s="6936"/>
      <c r="B59" s="6936"/>
      <c r="C59" s="6936"/>
      <c r="D59" s="6936"/>
      <c r="E59" s="6937"/>
      <c r="F59" s="6937"/>
      <c r="G59" s="6937"/>
      <c r="H59" s="6937"/>
      <c r="I59" s="6938"/>
      <c r="J59" s="6938"/>
      <c r="K59" s="6939"/>
      <c r="L59" s="6940"/>
      <c r="M59" s="6941"/>
      <c r="N59" s="6941"/>
      <c r="O59" s="6941"/>
      <c r="P59" s="6942"/>
      <c r="Q59" s="6942"/>
      <c r="R59" s="6943"/>
      <c r="S59" s="6965"/>
      <c r="T59" s="6966"/>
      <c r="U59" s="6946"/>
      <c r="V59" s="7014"/>
      <c r="W59" s="7015"/>
      <c r="X59" s="7016"/>
      <c r="Y59" s="7017"/>
      <c r="Z59" s="7018"/>
      <c r="AA59" s="7019"/>
      <c r="AB59" s="7020"/>
      <c r="AC59" s="7021"/>
      <c r="AD59" s="6066"/>
      <c r="AE59" s="6950"/>
      <c r="AF59" s="6951"/>
      <c r="AG59" s="6952"/>
      <c r="AH59" s="6949"/>
      <c r="AI59" s="6950"/>
      <c r="AJ59" s="6951" t="s">
        <v>109</v>
      </c>
      <c r="AK59" s="6954"/>
      <c r="AL59" s="6949"/>
      <c r="AM59" s="6975"/>
      <c r="AN59" s="6951"/>
      <c r="AO59" s="6956" t="s">
        <v>28</v>
      </c>
      <c r="AP59" s="6976"/>
      <c r="AQ59" s="7022"/>
      <c r="AR59" s="7023"/>
      <c r="AS59" s="7024" t="s">
        <v>504</v>
      </c>
      <c r="AT59" s="7025"/>
      <c r="AU59" s="7026"/>
      <c r="AV59" s="7027"/>
      <c r="AW59" s="7028"/>
      <c r="AX59" s="7029"/>
      <c r="AY59" s="7030"/>
      <c r="AZ59" s="7031"/>
      <c r="BA59" s="7032"/>
      <c r="BB59" s="7033"/>
      <c r="BC59" s="6989"/>
      <c r="BD59" s="6962"/>
      <c r="BE59" s="6963"/>
      <c r="BF59" s="6963"/>
      <c r="BG59" s="6963"/>
      <c r="BH59" s="6963"/>
      <c r="BI59" s="6964">
        <v>0</v>
      </c>
    </row>
    <row customHeight="1" ht="14.25">
      <c r="A60" s="6936"/>
      <c r="B60" s="6936"/>
      <c r="C60" s="6936"/>
      <c r="D60" s="6936"/>
      <c r="E60" s="6937"/>
      <c r="F60" s="6937"/>
      <c r="G60" s="6937"/>
      <c r="H60" s="6937"/>
      <c r="I60" s="6938"/>
      <c r="J60" s="6938"/>
      <c r="K60" s="6939"/>
      <c r="L60" s="6940"/>
      <c r="M60" s="6941"/>
      <c r="N60" s="6941"/>
      <c r="O60" s="6941"/>
      <c r="P60" s="6942"/>
      <c r="Q60" s="6942"/>
      <c r="R60" s="6943"/>
      <c r="S60" s="6965"/>
      <c r="T60" s="6966"/>
      <c r="U60" s="6946"/>
      <c r="V60" s="7034"/>
      <c r="W60" s="7035"/>
      <c r="X60" s="7036"/>
      <c r="Y60" s="7037"/>
      <c r="Z60" s="7038"/>
      <c r="AA60" s="7039"/>
      <c r="AB60" s="7040"/>
      <c r="AC60" s="7041"/>
      <c r="AD60" s="6066"/>
      <c r="AE60" s="6950"/>
      <c r="AF60" s="6951"/>
      <c r="AG60" s="6952"/>
      <c r="AH60" s="6949"/>
      <c r="AI60" s="6950"/>
      <c r="AJ60" s="6951" t="s">
        <v>109</v>
      </c>
      <c r="AK60" s="6954"/>
      <c r="AL60" s="6949"/>
      <c r="AM60" s="7042"/>
      <c r="AN60" s="7043"/>
      <c r="AO60" s="7044" t="s">
        <v>505</v>
      </c>
      <c r="AP60" s="7045"/>
      <c r="AQ60" s="7046"/>
      <c r="AR60" s="7047"/>
      <c r="AS60" s="7048"/>
      <c r="AT60" s="7049"/>
      <c r="AU60" s="7050"/>
      <c r="AV60" s="7051"/>
      <c r="AW60" s="7052"/>
      <c r="AX60" s="7053"/>
      <c r="AY60" s="7054"/>
      <c r="AZ60" s="7055"/>
      <c r="BA60" s="7056"/>
      <c r="BB60" s="7057"/>
      <c r="BC60" s="6989"/>
      <c r="BD60" s="6962"/>
      <c r="BE60" s="6963"/>
      <c r="BF60" s="6963"/>
      <c r="BG60" s="6963"/>
      <c r="BH60" s="6963"/>
      <c r="BI60" s="6964">
        <v>0</v>
      </c>
    </row>
    <row customHeight="1" ht="14.25">
      <c r="A61" s="6936"/>
      <c r="B61" s="6936"/>
      <c r="C61" s="6936"/>
      <c r="D61" s="6936"/>
      <c r="E61" s="6937"/>
      <c r="F61" s="6937"/>
      <c r="G61" s="6937"/>
      <c r="H61" s="6937"/>
      <c r="I61" s="6938"/>
      <c r="J61" s="6938"/>
      <c r="K61" s="6939" t="str">
        <f>S57&amp;".1"</f>
        <v>.1</v>
      </c>
      <c r="L61" s="6940"/>
      <c r="M61" s="6941"/>
      <c r="N61" s="6941"/>
      <c r="O61" s="6941"/>
      <c r="P61" s="6942"/>
      <c r="Q61" s="6942"/>
      <c r="R61" s="6943">
        <v>1</v>
      </c>
      <c r="S61" s="6944" t="str">
        <f>$K61</f>
        <v>.1</v>
      </c>
      <c r="T61" s="6945"/>
      <c r="U61" s="6946"/>
      <c r="V61" s="6947"/>
      <c r="W61" s="6948"/>
      <c r="X61" s="6947"/>
      <c r="Y61" s="6948"/>
      <c r="Z61" s="6935"/>
      <c r="AA61" s="6949" t="s">
        <v>65</v>
      </c>
      <c r="AB61" s="6935"/>
      <c r="AC61" s="6949" t="s">
        <v>65</v>
      </c>
      <c r="AD61" s="6060" t="s">
        <v>65</v>
      </c>
      <c r="AE61" s="6950"/>
      <c r="AF61" s="6951">
        <v>1</v>
      </c>
      <c r="AG61" s="6952"/>
      <c r="AH61" s="6949" t="s">
        <v>65</v>
      </c>
      <c r="AI61" s="6953" t="s">
        <v>489</v>
      </c>
      <c r="AJ61" s="6951" t="s">
        <v>90</v>
      </c>
      <c r="AK61" s="6954" t="s">
        <v>522</v>
      </c>
      <c r="AL61" s="6949" t="s">
        <v>19</v>
      </c>
      <c r="AM61" s="6955"/>
      <c r="AN61" s="6951">
        <v>1</v>
      </c>
      <c r="AO61" s="6956" t="s">
        <v>28</v>
      </c>
      <c r="AP61" s="6957" t="s">
        <v>65</v>
      </c>
      <c r="AQ61" s="6958"/>
      <c r="AR61" s="6951">
        <v>1</v>
      </c>
      <c r="AS61" s="6959" t="s">
        <v>519</v>
      </c>
      <c r="AT61" s="6947"/>
      <c r="AU61" s="6948">
        <v>37.22328</v>
      </c>
      <c r="AV61" s="6947"/>
      <c r="AW61" s="6948">
        <v>13.22011</v>
      </c>
      <c r="AX61" s="6935">
        <v>45658</v>
      </c>
      <c r="AY61" s="6949" t="s">
        <v>65</v>
      </c>
      <c r="AZ61" s="6935">
        <v>46022</v>
      </c>
      <c r="BA61" s="6949" t="s">
        <v>65</v>
      </c>
      <c r="BB61" s="6960"/>
      <c r="BC61" s="6961" t="s">
        <v>503</v>
      </c>
      <c r="BD61" s="6962"/>
      <c r="BE61" s="6963"/>
      <c r="BF61" s="6963" t="str">
        <f>IF(T61="","",T61)</f>
        <v/>
      </c>
      <c r="BG61" s="6963"/>
      <c r="BH61" s="6963"/>
      <c r="BI61" s="6964">
        <v>0</v>
      </c>
    </row>
    <row customHeight="1" ht="14.25">
      <c r="A62" s="6936"/>
      <c r="B62" s="6936"/>
      <c r="C62" s="6936"/>
      <c r="D62" s="6936"/>
      <c r="E62" s="6937"/>
      <c r="F62" s="6937"/>
      <c r="G62" s="6937"/>
      <c r="H62" s="6937"/>
      <c r="I62" s="6938"/>
      <c r="J62" s="6938"/>
      <c r="K62" s="6939"/>
      <c r="L62" s="6940"/>
      <c r="M62" s="6941"/>
      <c r="N62" s="6941"/>
      <c r="O62" s="6941"/>
      <c r="P62" s="6942"/>
      <c r="Q62" s="6942"/>
      <c r="R62" s="6943"/>
      <c r="S62" s="6965"/>
      <c r="T62" s="6966"/>
      <c r="U62" s="6946"/>
      <c r="V62" s="7058"/>
      <c r="W62" s="7059"/>
      <c r="X62" s="7060"/>
      <c r="Y62" s="7061"/>
      <c r="Z62" s="7062"/>
      <c r="AA62" s="7063"/>
      <c r="AB62" s="7064"/>
      <c r="AC62" s="7065"/>
      <c r="AD62" s="6066"/>
      <c r="AE62" s="6950"/>
      <c r="AF62" s="6951"/>
      <c r="AG62" s="6952"/>
      <c r="AH62" s="6949"/>
      <c r="AI62" s="6950"/>
      <c r="AJ62" s="6951" t="s">
        <v>89</v>
      </c>
      <c r="AK62" s="6954"/>
      <c r="AL62" s="6949"/>
      <c r="AM62" s="6975"/>
      <c r="AN62" s="6951"/>
      <c r="AO62" s="6956" t="s">
        <v>28</v>
      </c>
      <c r="AP62" s="6976"/>
      <c r="AQ62" s="7066"/>
      <c r="AR62" s="7067"/>
      <c r="AS62" s="7068" t="s">
        <v>504</v>
      </c>
      <c r="AT62" s="7069"/>
      <c r="AU62" s="7070"/>
      <c r="AV62" s="7071"/>
      <c r="AW62" s="7072"/>
      <c r="AX62" s="7073"/>
      <c r="AY62" s="7074"/>
      <c r="AZ62" s="7075"/>
      <c r="BA62" s="7076"/>
      <c r="BB62" s="7077"/>
      <c r="BC62" s="6989"/>
      <c r="BD62" s="6962"/>
      <c r="BE62" s="6963"/>
      <c r="BF62" s="6963"/>
      <c r="BG62" s="6963"/>
      <c r="BH62" s="6963"/>
      <c r="BI62" s="6964">
        <v>0</v>
      </c>
    </row>
    <row customHeight="1" ht="14.25">
      <c r="A63" s="6936"/>
      <c r="B63" s="6936"/>
      <c r="C63" s="6936"/>
      <c r="D63" s="6936"/>
      <c r="E63" s="6937"/>
      <c r="F63" s="6937"/>
      <c r="G63" s="6937"/>
      <c r="H63" s="6937"/>
      <c r="I63" s="6938"/>
      <c r="J63" s="6938"/>
      <c r="K63" s="6939"/>
      <c r="L63" s="6940"/>
      <c r="M63" s="6941"/>
      <c r="N63" s="6941"/>
      <c r="O63" s="6941"/>
      <c r="P63" s="6942"/>
      <c r="Q63" s="6942"/>
      <c r="R63" s="6943"/>
      <c r="S63" s="6965"/>
      <c r="T63" s="6966"/>
      <c r="U63" s="6946"/>
      <c r="V63" s="7078"/>
      <c r="W63" s="7079"/>
      <c r="X63" s="7080"/>
      <c r="Y63" s="7081"/>
      <c r="Z63" s="7082"/>
      <c r="AA63" s="7083"/>
      <c r="AB63" s="7084"/>
      <c r="AC63" s="7085"/>
      <c r="AD63" s="6066"/>
      <c r="AE63" s="6950"/>
      <c r="AF63" s="6951"/>
      <c r="AG63" s="6952"/>
      <c r="AH63" s="6949"/>
      <c r="AI63" s="6950"/>
      <c r="AJ63" s="6951" t="s">
        <v>89</v>
      </c>
      <c r="AK63" s="6954"/>
      <c r="AL63" s="6949"/>
      <c r="AM63" s="7086"/>
      <c r="AN63" s="7087"/>
      <c r="AO63" s="7088" t="s">
        <v>505</v>
      </c>
      <c r="AP63" s="7089"/>
      <c r="AQ63" s="7090"/>
      <c r="AR63" s="7091"/>
      <c r="AS63" s="7092"/>
      <c r="AT63" s="7093"/>
      <c r="AU63" s="7094"/>
      <c r="AV63" s="7095"/>
      <c r="AW63" s="7096"/>
      <c r="AX63" s="7097"/>
      <c r="AY63" s="7098"/>
      <c r="AZ63" s="7099"/>
      <c r="BA63" s="7100"/>
      <c r="BB63" s="7101"/>
      <c r="BC63" s="6989"/>
      <c r="BD63" s="6962"/>
      <c r="BE63" s="6963"/>
      <c r="BF63" s="6963"/>
      <c r="BG63" s="6963"/>
      <c r="BH63" s="6963"/>
      <c r="BI63" s="6964">
        <v>0</v>
      </c>
    </row>
    <row customHeight="1" ht="14.25">
      <c r="A64" s="6936"/>
      <c r="B64" s="6936"/>
      <c r="C64" s="6936"/>
      <c r="D64" s="6936"/>
      <c r="E64" s="6937"/>
      <c r="F64" s="6937"/>
      <c r="G64" s="6937"/>
      <c r="H64" s="6937"/>
      <c r="I64" s="6938"/>
      <c r="J64" s="6938"/>
      <c r="K64" s="6939" t="str">
        <f>S60&amp;".1"</f>
        <v>.1</v>
      </c>
      <c r="L64" s="6940"/>
      <c r="M64" s="6941"/>
      <c r="N64" s="6941"/>
      <c r="O64" s="6941"/>
      <c r="P64" s="6942"/>
      <c r="Q64" s="6942"/>
      <c r="R64" s="6943">
        <v>1</v>
      </c>
      <c r="S64" s="6944" t="str">
        <f>$K64</f>
        <v>.1</v>
      </c>
      <c r="T64" s="6945"/>
      <c r="U64" s="6946"/>
      <c r="V64" s="6947"/>
      <c r="W64" s="6948"/>
      <c r="X64" s="6947"/>
      <c r="Y64" s="6948"/>
      <c r="Z64" s="6935"/>
      <c r="AA64" s="6949" t="s">
        <v>65</v>
      </c>
      <c r="AB64" s="6935"/>
      <c r="AC64" s="6949" t="s">
        <v>65</v>
      </c>
      <c r="AD64" s="6060" t="s">
        <v>65</v>
      </c>
      <c r="AE64" s="6950"/>
      <c r="AF64" s="6951">
        <v>1</v>
      </c>
      <c r="AG64" s="6952"/>
      <c r="AH64" s="6949" t="s">
        <v>65</v>
      </c>
      <c r="AI64" s="6953" t="s">
        <v>489</v>
      </c>
      <c r="AJ64" s="6951" t="s">
        <v>110</v>
      </c>
      <c r="AK64" s="6954" t="s">
        <v>523</v>
      </c>
      <c r="AL64" s="6949" t="s">
        <v>19</v>
      </c>
      <c r="AM64" s="6955"/>
      <c r="AN64" s="6951">
        <v>1</v>
      </c>
      <c r="AO64" s="6956" t="s">
        <v>28</v>
      </c>
      <c r="AP64" s="6957" t="s">
        <v>65</v>
      </c>
      <c r="AQ64" s="6958"/>
      <c r="AR64" s="6951">
        <v>1</v>
      </c>
      <c r="AS64" s="6959" t="s">
        <v>519</v>
      </c>
      <c r="AT64" s="6947"/>
      <c r="AU64" s="6948">
        <v>37.22328</v>
      </c>
      <c r="AV64" s="6947"/>
      <c r="AW64" s="6948">
        <v>12.73192</v>
      </c>
      <c r="AX64" s="6935">
        <v>45658</v>
      </c>
      <c r="AY64" s="6949" t="s">
        <v>65</v>
      </c>
      <c r="AZ64" s="6935">
        <v>46022</v>
      </c>
      <c r="BA64" s="6949" t="s">
        <v>65</v>
      </c>
      <c r="BB64" s="6960"/>
      <c r="BC64" s="6961" t="s">
        <v>503</v>
      </c>
      <c r="BD64" s="6962"/>
      <c r="BE64" s="6963"/>
      <c r="BF64" s="6963" t="str">
        <f>IF(T64="","",T64)</f>
        <v/>
      </c>
      <c r="BG64" s="6963"/>
      <c r="BH64" s="6963"/>
      <c r="BI64" s="6964">
        <v>0</v>
      </c>
    </row>
    <row customHeight="1" ht="14.25">
      <c r="A65" s="6936"/>
      <c r="B65" s="6936"/>
      <c r="C65" s="6936"/>
      <c r="D65" s="6936"/>
      <c r="E65" s="6937"/>
      <c r="F65" s="6937"/>
      <c r="G65" s="6937"/>
      <c r="H65" s="6937"/>
      <c r="I65" s="6938"/>
      <c r="J65" s="6938"/>
      <c r="K65" s="6939"/>
      <c r="L65" s="6940"/>
      <c r="M65" s="6941"/>
      <c r="N65" s="6941"/>
      <c r="O65" s="6941"/>
      <c r="P65" s="6942"/>
      <c r="Q65" s="6942"/>
      <c r="R65" s="6943"/>
      <c r="S65" s="6965"/>
      <c r="T65" s="6966"/>
      <c r="U65" s="6946"/>
      <c r="V65" s="7102"/>
      <c r="W65" s="7103"/>
      <c r="X65" s="7104"/>
      <c r="Y65" s="7105"/>
      <c r="Z65" s="7106"/>
      <c r="AA65" s="7107"/>
      <c r="AB65" s="7108"/>
      <c r="AC65" s="7109"/>
      <c r="AD65" s="6066"/>
      <c r="AE65" s="6950"/>
      <c r="AF65" s="6951"/>
      <c r="AG65" s="6952"/>
      <c r="AH65" s="6949"/>
      <c r="AI65" s="6950"/>
      <c r="AJ65" s="6951" t="s">
        <v>90</v>
      </c>
      <c r="AK65" s="6954"/>
      <c r="AL65" s="6949"/>
      <c r="AM65" s="6975"/>
      <c r="AN65" s="6951"/>
      <c r="AO65" s="6956" t="s">
        <v>28</v>
      </c>
      <c r="AP65" s="6976"/>
      <c r="AQ65" s="7110"/>
      <c r="AR65" s="7111"/>
      <c r="AS65" s="7112" t="s">
        <v>504</v>
      </c>
      <c r="AT65" s="7113"/>
      <c r="AU65" s="7114"/>
      <c r="AV65" s="7115"/>
      <c r="AW65" s="7116"/>
      <c r="AX65" s="7117"/>
      <c r="AY65" s="7118"/>
      <c r="AZ65" s="7119"/>
      <c r="BA65" s="7120"/>
      <c r="BB65" s="7121"/>
      <c r="BC65" s="6989"/>
      <c r="BD65" s="6962"/>
      <c r="BE65" s="6963"/>
      <c r="BF65" s="6963"/>
      <c r="BG65" s="6963"/>
      <c r="BH65" s="6963"/>
      <c r="BI65" s="6964">
        <v>0</v>
      </c>
    </row>
    <row customHeight="1" ht="14.25">
      <c r="A66" s="6936"/>
      <c r="B66" s="6936"/>
      <c r="C66" s="6936"/>
      <c r="D66" s="6936"/>
      <c r="E66" s="6937"/>
      <c r="F66" s="6937"/>
      <c r="G66" s="6937"/>
      <c r="H66" s="6937"/>
      <c r="I66" s="6938"/>
      <c r="J66" s="6938"/>
      <c r="K66" s="6939"/>
      <c r="L66" s="6940"/>
      <c r="M66" s="6941"/>
      <c r="N66" s="6941"/>
      <c r="O66" s="6941"/>
      <c r="P66" s="6942"/>
      <c r="Q66" s="6942"/>
      <c r="R66" s="6943"/>
      <c r="S66" s="6965"/>
      <c r="T66" s="6966"/>
      <c r="U66" s="6946"/>
      <c r="V66" s="7122"/>
      <c r="W66" s="7123"/>
      <c r="X66" s="7124"/>
      <c r="Y66" s="7125"/>
      <c r="Z66" s="7126"/>
      <c r="AA66" s="7127"/>
      <c r="AB66" s="7128"/>
      <c r="AC66" s="7129"/>
      <c r="AD66" s="6066"/>
      <c r="AE66" s="6950"/>
      <c r="AF66" s="6951"/>
      <c r="AG66" s="6952"/>
      <c r="AH66" s="6949"/>
      <c r="AI66" s="6950"/>
      <c r="AJ66" s="6951" t="s">
        <v>90</v>
      </c>
      <c r="AK66" s="6954"/>
      <c r="AL66" s="6949"/>
      <c r="AM66" s="7130"/>
      <c r="AN66" s="7131"/>
      <c r="AO66" s="7132" t="s">
        <v>505</v>
      </c>
      <c r="AP66" s="7133"/>
      <c r="AQ66" s="7134"/>
      <c r="AR66" s="7135"/>
      <c r="AS66" s="7136"/>
      <c r="AT66" s="7137"/>
      <c r="AU66" s="7138"/>
      <c r="AV66" s="7139"/>
      <c r="AW66" s="7140"/>
      <c r="AX66" s="7141"/>
      <c r="AY66" s="7142"/>
      <c r="AZ66" s="7143"/>
      <c r="BA66" s="7144"/>
      <c r="BB66" s="7145"/>
      <c r="BC66" s="6989"/>
      <c r="BD66" s="6962"/>
      <c r="BE66" s="6963"/>
      <c r="BF66" s="6963"/>
      <c r="BG66" s="6963"/>
      <c r="BH66" s="6963"/>
      <c r="BI66" s="6964">
        <v>0</v>
      </c>
    </row>
    <row customHeight="1" ht="14.25">
      <c r="A67" s="6936"/>
      <c r="B67" s="6936"/>
      <c r="C67" s="6936"/>
      <c r="D67" s="6936"/>
      <c r="E67" s="6937"/>
      <c r="F67" s="6937"/>
      <c r="G67" s="6937"/>
      <c r="H67" s="6937"/>
      <c r="I67" s="6938"/>
      <c r="J67" s="6938"/>
      <c r="K67" s="6939" t="str">
        <f>S63&amp;".1"</f>
        <v>.1</v>
      </c>
      <c r="L67" s="6940"/>
      <c r="M67" s="6941"/>
      <c r="N67" s="6941"/>
      <c r="O67" s="6941"/>
      <c r="P67" s="6942"/>
      <c r="Q67" s="6942"/>
      <c r="R67" s="6943">
        <v>1</v>
      </c>
      <c r="S67" s="6944" t="str">
        <f>$K67</f>
        <v>.1</v>
      </c>
      <c r="T67" s="6945"/>
      <c r="U67" s="6946"/>
      <c r="V67" s="6947"/>
      <c r="W67" s="6948"/>
      <c r="X67" s="6947"/>
      <c r="Y67" s="6948"/>
      <c r="Z67" s="6935"/>
      <c r="AA67" s="6949" t="s">
        <v>65</v>
      </c>
      <c r="AB67" s="6935"/>
      <c r="AC67" s="6949" t="s">
        <v>65</v>
      </c>
      <c r="AD67" s="6060" t="s">
        <v>65</v>
      </c>
      <c r="AE67" s="6950"/>
      <c r="AF67" s="6951">
        <v>1</v>
      </c>
      <c r="AG67" s="6952"/>
      <c r="AH67" s="6949" t="s">
        <v>65</v>
      </c>
      <c r="AI67" s="6953" t="s">
        <v>489</v>
      </c>
      <c r="AJ67" s="6951" t="s">
        <v>91</v>
      </c>
      <c r="AK67" s="6954" t="s">
        <v>524</v>
      </c>
      <c r="AL67" s="6949" t="s">
        <v>19</v>
      </c>
      <c r="AM67" s="6955"/>
      <c r="AN67" s="6951">
        <v>1</v>
      </c>
      <c r="AO67" s="6956" t="s">
        <v>28</v>
      </c>
      <c r="AP67" s="6957" t="s">
        <v>65</v>
      </c>
      <c r="AQ67" s="6958"/>
      <c r="AR67" s="6951">
        <v>1</v>
      </c>
      <c r="AS67" s="6959" t="s">
        <v>519</v>
      </c>
      <c r="AT67" s="6947"/>
      <c r="AU67" s="6948">
        <v>37.22328</v>
      </c>
      <c r="AV67" s="6947"/>
      <c r="AW67" s="6948">
        <v>10.91898</v>
      </c>
      <c r="AX67" s="6935">
        <v>45658</v>
      </c>
      <c r="AY67" s="6949" t="s">
        <v>65</v>
      </c>
      <c r="AZ67" s="6935">
        <v>46022</v>
      </c>
      <c r="BA67" s="6949" t="s">
        <v>65</v>
      </c>
      <c r="BB67" s="6960"/>
      <c r="BC67" s="6961" t="s">
        <v>503</v>
      </c>
      <c r="BD67" s="6962"/>
      <c r="BE67" s="6963"/>
      <c r="BF67" s="6963" t="str">
        <f>IF(T67="","",T67)</f>
        <v/>
      </c>
      <c r="BG67" s="6963"/>
      <c r="BH67" s="6963"/>
      <c r="BI67" s="6964">
        <v>0</v>
      </c>
    </row>
    <row customHeight="1" ht="14.25">
      <c r="A68" s="6936"/>
      <c r="B68" s="6936"/>
      <c r="C68" s="6936"/>
      <c r="D68" s="6936"/>
      <c r="E68" s="6937"/>
      <c r="F68" s="6937"/>
      <c r="G68" s="6937"/>
      <c r="H68" s="6937"/>
      <c r="I68" s="6938"/>
      <c r="J68" s="6938"/>
      <c r="K68" s="6939"/>
      <c r="L68" s="6940"/>
      <c r="M68" s="6941"/>
      <c r="N68" s="6941"/>
      <c r="O68" s="6941"/>
      <c r="P68" s="6942"/>
      <c r="Q68" s="6942"/>
      <c r="R68" s="6943"/>
      <c r="S68" s="6965"/>
      <c r="T68" s="6966"/>
      <c r="U68" s="6946"/>
      <c r="V68" s="7146"/>
      <c r="W68" s="7147"/>
      <c r="X68" s="7148"/>
      <c r="Y68" s="7149"/>
      <c r="Z68" s="7150"/>
      <c r="AA68" s="7151"/>
      <c r="AB68" s="7152"/>
      <c r="AC68" s="7153"/>
      <c r="AD68" s="6066"/>
      <c r="AE68" s="6950"/>
      <c r="AF68" s="6951"/>
      <c r="AG68" s="6952"/>
      <c r="AH68" s="6949"/>
      <c r="AI68" s="6950"/>
      <c r="AJ68" s="6951" t="s">
        <v>110</v>
      </c>
      <c r="AK68" s="6954"/>
      <c r="AL68" s="6949"/>
      <c r="AM68" s="6975"/>
      <c r="AN68" s="6951"/>
      <c r="AO68" s="6956" t="s">
        <v>28</v>
      </c>
      <c r="AP68" s="6976"/>
      <c r="AQ68" s="7154"/>
      <c r="AR68" s="7155"/>
      <c r="AS68" s="7156" t="s">
        <v>504</v>
      </c>
      <c r="AT68" s="7157"/>
      <c r="AU68" s="7158"/>
      <c r="AV68" s="7159"/>
      <c r="AW68" s="7160"/>
      <c r="AX68" s="7161"/>
      <c r="AY68" s="7162"/>
      <c r="AZ68" s="7163"/>
      <c r="BA68" s="7164"/>
      <c r="BB68" s="7165"/>
      <c r="BC68" s="6989"/>
      <c r="BD68" s="6962"/>
      <c r="BE68" s="6963"/>
      <c r="BF68" s="6963"/>
      <c r="BG68" s="6963"/>
      <c r="BH68" s="6963"/>
      <c r="BI68" s="6964">
        <v>0</v>
      </c>
    </row>
    <row customHeight="1" ht="14.25">
      <c r="A69" s="6936"/>
      <c r="B69" s="6936"/>
      <c r="C69" s="6936"/>
      <c r="D69" s="6936"/>
      <c r="E69" s="6937"/>
      <c r="F69" s="6937"/>
      <c r="G69" s="6937"/>
      <c r="H69" s="6937"/>
      <c r="I69" s="6938"/>
      <c r="J69" s="6938"/>
      <c r="K69" s="6939"/>
      <c r="L69" s="6940"/>
      <c r="M69" s="6941"/>
      <c r="N69" s="6941"/>
      <c r="O69" s="6941"/>
      <c r="P69" s="6942"/>
      <c r="Q69" s="6942"/>
      <c r="R69" s="6943"/>
      <c r="S69" s="6965"/>
      <c r="T69" s="6966"/>
      <c r="U69" s="6946"/>
      <c r="V69" s="7166"/>
      <c r="W69" s="7167"/>
      <c r="X69" s="7168"/>
      <c r="Y69" s="7169"/>
      <c r="Z69" s="7170"/>
      <c r="AA69" s="7171"/>
      <c r="AB69" s="7172"/>
      <c r="AC69" s="7173"/>
      <c r="AD69" s="6066"/>
      <c r="AE69" s="6950"/>
      <c r="AF69" s="6951"/>
      <c r="AG69" s="6952"/>
      <c r="AH69" s="6949"/>
      <c r="AI69" s="6950"/>
      <c r="AJ69" s="6951" t="s">
        <v>110</v>
      </c>
      <c r="AK69" s="6954"/>
      <c r="AL69" s="6949"/>
      <c r="AM69" s="7174"/>
      <c r="AN69" s="7175"/>
      <c r="AO69" s="7176" t="s">
        <v>505</v>
      </c>
      <c r="AP69" s="7177"/>
      <c r="AQ69" s="7178"/>
      <c r="AR69" s="7179"/>
      <c r="AS69" s="7180"/>
      <c r="AT69" s="7181"/>
      <c r="AU69" s="7182"/>
      <c r="AV69" s="7183"/>
      <c r="AW69" s="7184"/>
      <c r="AX69" s="7185"/>
      <c r="AY69" s="7186"/>
      <c r="AZ69" s="7187"/>
      <c r="BA69" s="7188"/>
      <c r="BB69" s="7189"/>
      <c r="BC69" s="6989"/>
      <c r="BD69" s="6962"/>
      <c r="BE69" s="6963"/>
      <c r="BF69" s="6963"/>
      <c r="BG69" s="6963"/>
      <c r="BH69" s="6963"/>
      <c r="BI69" s="6964">
        <v>0</v>
      </c>
    </row>
    <row customHeight="1" ht="11.549999999999999">
      <c r="A70" s="1533" t="s">
        <v>249</v>
      </c>
      <c r="B70" s="1533"/>
      <c r="C70" s="1533"/>
      <c r="D70" s="1533"/>
      <c r="E70" s="2429"/>
      <c r="F70" s="2429"/>
      <c r="G70" s="2429"/>
      <c r="H70" s="2429"/>
      <c r="I70" s="2456"/>
      <c r="J70" s="2456"/>
      <c r="K70" s="2426"/>
      <c r="L70" s="1534"/>
      <c r="P70" s="2427"/>
      <c r="Q70" s="2427"/>
      <c r="R70" s="527"/>
      <c r="S70" s="2512"/>
      <c r="T70" s="2531"/>
      <c r="U70" s="470"/>
      <c r="V70" s="1563"/>
      <c r="W70" s="1666"/>
      <c r="X70" s="1563"/>
      <c r="Y70" s="1666"/>
      <c r="Z70" s="1563"/>
      <c r="AA70" s="1563"/>
      <c r="AB70" s="1563"/>
      <c r="AC70" s="1563"/>
      <c r="AD70" s="2356"/>
      <c r="AE70" s="2496"/>
      <c r="AF70" s="2375"/>
      <c r="AG70" s="2533"/>
      <c r="AH70" s="2277"/>
      <c r="AI70" s="464"/>
      <c r="AJ70" s="585"/>
      <c r="AK70" s="483" t="s">
        <v>506</v>
      </c>
      <c r="AL70" s="1563"/>
      <c r="AM70" s="1563"/>
      <c r="AN70" s="1563"/>
      <c r="AO70" s="1563"/>
      <c r="AP70" s="1563"/>
      <c r="AQ70" s="1563"/>
      <c r="AR70" s="1563"/>
      <c r="AS70" s="1563"/>
      <c r="AT70" s="1563"/>
      <c r="AU70" s="1666"/>
      <c r="AV70" s="1563"/>
      <c r="AW70" s="1666"/>
      <c r="AX70" s="1563"/>
      <c r="AY70" s="1563"/>
      <c r="AZ70" s="1563"/>
      <c r="BA70" s="1563"/>
      <c r="BB70" s="1567"/>
      <c r="BC70" s="2424"/>
      <c r="BE70" s="670"/>
      <c r="BF70" s="670"/>
      <c r="BG70" s="670"/>
      <c r="BH70" s="670"/>
      <c r="BI70" s="1325">
        <v>11</v>
      </c>
    </row>
    <row customHeight="1" ht="14.25">
      <c r="A71" s="6936"/>
      <c r="B71" s="6936"/>
      <c r="C71" s="6936"/>
      <c r="D71" s="6936"/>
      <c r="E71" s="6937"/>
      <c r="F71" s="6937"/>
      <c r="G71" s="6937"/>
      <c r="H71" s="6937"/>
      <c r="I71" s="6938"/>
      <c r="J71" s="6938"/>
      <c r="K71" s="6939" t="str">
        <f>S67&amp;".1"</f>
        <v>.1.1</v>
      </c>
      <c r="L71" s="6940"/>
      <c r="M71" s="6941"/>
      <c r="N71" s="6941"/>
      <c r="O71" s="6941"/>
      <c r="P71" s="6942"/>
      <c r="Q71" s="6942"/>
      <c r="R71" s="6943">
        <v>1</v>
      </c>
      <c r="S71" s="6944" t="str">
        <f>$K71</f>
        <v>.1.1</v>
      </c>
      <c r="T71" s="6945"/>
      <c r="U71" s="6946"/>
      <c r="V71" s="6947"/>
      <c r="W71" s="6948"/>
      <c r="X71" s="6947"/>
      <c r="Y71" s="6948"/>
      <c r="Z71" s="6935"/>
      <c r="AA71" s="6949" t="s">
        <v>65</v>
      </c>
      <c r="AB71" s="6935"/>
      <c r="AC71" s="6949" t="s">
        <v>65</v>
      </c>
      <c r="AD71" s="6060" t="s">
        <v>65</v>
      </c>
      <c r="AE71" s="6953" t="s">
        <v>489</v>
      </c>
      <c r="AF71" s="6951" t="s">
        <v>109</v>
      </c>
      <c r="AG71" s="6952">
        <v>250</v>
      </c>
      <c r="AH71" s="6949" t="s">
        <v>65</v>
      </c>
      <c r="AI71" s="6950"/>
      <c r="AJ71" s="6951">
        <v>1</v>
      </c>
      <c r="AK71" s="6954" t="s">
        <v>518</v>
      </c>
      <c r="AL71" s="6949" t="s">
        <v>19</v>
      </c>
      <c r="AM71" s="6955"/>
      <c r="AN71" s="6951">
        <v>1</v>
      </c>
      <c r="AO71" s="6956" t="s">
        <v>28</v>
      </c>
      <c r="AP71" s="6957" t="s">
        <v>65</v>
      </c>
      <c r="AQ71" s="6958"/>
      <c r="AR71" s="6951">
        <v>1</v>
      </c>
      <c r="AS71" s="6959" t="s">
        <v>525</v>
      </c>
      <c r="AT71" s="6947"/>
      <c r="AU71" s="6948">
        <v>37.22328</v>
      </c>
      <c r="AV71" s="6947"/>
      <c r="AW71" s="6948">
        <v>3.03917</v>
      </c>
      <c r="AX71" s="6935">
        <v>45658</v>
      </c>
      <c r="AY71" s="6949" t="s">
        <v>65</v>
      </c>
      <c r="AZ71" s="6935">
        <v>46022</v>
      </c>
      <c r="BA71" s="6949" t="s">
        <v>65</v>
      </c>
      <c r="BB71" s="6960"/>
      <c r="BC71" s="6961" t="s">
        <v>503</v>
      </c>
      <c r="BD71" s="6962"/>
      <c r="BE71" s="6963"/>
      <c r="BF71" s="6963" t="str">
        <f>IF(T71="","",T71)</f>
        <v/>
      </c>
      <c r="BG71" s="6963"/>
      <c r="BH71" s="6963"/>
      <c r="BI71" s="6964">
        <v>0</v>
      </c>
    </row>
    <row customHeight="1" ht="14.25">
      <c r="A72" s="6936"/>
      <c r="B72" s="6936"/>
      <c r="C72" s="6936"/>
      <c r="D72" s="6936"/>
      <c r="E72" s="6937"/>
      <c r="F72" s="6937"/>
      <c r="G72" s="6937"/>
      <c r="H72" s="6937"/>
      <c r="I72" s="6938"/>
      <c r="J72" s="6938"/>
      <c r="K72" s="6939"/>
      <c r="L72" s="6940"/>
      <c r="M72" s="6941"/>
      <c r="N72" s="6941"/>
      <c r="O72" s="6941"/>
      <c r="P72" s="6942"/>
      <c r="Q72" s="6942"/>
      <c r="R72" s="6943"/>
      <c r="S72" s="6965"/>
      <c r="T72" s="6966"/>
      <c r="U72" s="6946"/>
      <c r="V72" s="7190"/>
      <c r="W72" s="7191"/>
      <c r="X72" s="7192"/>
      <c r="Y72" s="7193"/>
      <c r="Z72" s="7194"/>
      <c r="AA72" s="7195"/>
      <c r="AB72" s="7196"/>
      <c r="AC72" s="7197"/>
      <c r="AD72" s="6066"/>
      <c r="AE72" s="6950"/>
      <c r="AF72" s="6951">
        <v>1</v>
      </c>
      <c r="AG72" s="6952"/>
      <c r="AH72" s="6949"/>
      <c r="AI72" s="6950"/>
      <c r="AJ72" s="6951"/>
      <c r="AK72" s="6954"/>
      <c r="AL72" s="6949"/>
      <c r="AM72" s="6975"/>
      <c r="AN72" s="6951"/>
      <c r="AO72" s="6956" t="s">
        <v>28</v>
      </c>
      <c r="AP72" s="6976"/>
      <c r="AQ72" s="7198"/>
      <c r="AR72" s="7199"/>
      <c r="AS72" s="7200" t="s">
        <v>504</v>
      </c>
      <c r="AT72" s="7201"/>
      <c r="AU72" s="7202"/>
      <c r="AV72" s="7203"/>
      <c r="AW72" s="7204"/>
      <c r="AX72" s="7205"/>
      <c r="AY72" s="7206"/>
      <c r="AZ72" s="7207"/>
      <c r="BA72" s="7208"/>
      <c r="BB72" s="7209"/>
      <c r="BC72" s="6989"/>
      <c r="BD72" s="6962"/>
      <c r="BE72" s="6963"/>
      <c r="BF72" s="6963"/>
      <c r="BG72" s="6963"/>
      <c r="BH72" s="6963"/>
      <c r="BI72" s="6964">
        <v>0</v>
      </c>
    </row>
    <row customHeight="1" ht="14.25">
      <c r="A73" s="6936"/>
      <c r="B73" s="6936"/>
      <c r="C73" s="6936"/>
      <c r="D73" s="6936"/>
      <c r="E73" s="6937"/>
      <c r="F73" s="6937"/>
      <c r="G73" s="6937"/>
      <c r="H73" s="6937"/>
      <c r="I73" s="6938"/>
      <c r="J73" s="6938"/>
      <c r="K73" s="6939"/>
      <c r="L73" s="6940"/>
      <c r="M73" s="6941"/>
      <c r="N73" s="6941"/>
      <c r="O73" s="6941"/>
      <c r="P73" s="6942"/>
      <c r="Q73" s="6942"/>
      <c r="R73" s="6943"/>
      <c r="S73" s="6965"/>
      <c r="T73" s="6966"/>
      <c r="U73" s="6946"/>
      <c r="V73" s="7210"/>
      <c r="W73" s="7211"/>
      <c r="X73" s="7212"/>
      <c r="Y73" s="7213"/>
      <c r="Z73" s="7214"/>
      <c r="AA73" s="7215"/>
      <c r="AB73" s="7216"/>
      <c r="AC73" s="7217"/>
      <c r="AD73" s="6066"/>
      <c r="AE73" s="6950"/>
      <c r="AF73" s="6951">
        <v>1</v>
      </c>
      <c r="AG73" s="6952"/>
      <c r="AH73" s="6949"/>
      <c r="AI73" s="6950"/>
      <c r="AJ73" s="6951"/>
      <c r="AK73" s="6954"/>
      <c r="AL73" s="6949"/>
      <c r="AM73" s="7218"/>
      <c r="AN73" s="7219"/>
      <c r="AO73" s="7220" t="s">
        <v>505</v>
      </c>
      <c r="AP73" s="7221"/>
      <c r="AQ73" s="7222"/>
      <c r="AR73" s="7223"/>
      <c r="AS73" s="7224"/>
      <c r="AT73" s="7225"/>
      <c r="AU73" s="7226"/>
      <c r="AV73" s="7227"/>
      <c r="AW73" s="7228"/>
      <c r="AX73" s="7229"/>
      <c r="AY73" s="7230"/>
      <c r="AZ73" s="7231"/>
      <c r="BA73" s="7232"/>
      <c r="BB73" s="7233"/>
      <c r="BC73" s="6989"/>
      <c r="BD73" s="6962"/>
      <c r="BE73" s="6963"/>
      <c r="BF73" s="6963"/>
      <c r="BG73" s="6963"/>
      <c r="BH73" s="6963"/>
      <c r="BI73" s="6964">
        <v>0</v>
      </c>
    </row>
    <row customHeight="1" ht="14.25">
      <c r="A74" s="6936"/>
      <c r="B74" s="6936"/>
      <c r="C74" s="6936"/>
      <c r="D74" s="6936"/>
      <c r="E74" s="6937"/>
      <c r="F74" s="6937"/>
      <c r="G74" s="6937"/>
      <c r="H74" s="6937"/>
      <c r="I74" s="6938"/>
      <c r="J74" s="6938"/>
      <c r="K74" s="6939" t="str">
        <f>S70&amp;".1"</f>
        <v>.1</v>
      </c>
      <c r="L74" s="6940"/>
      <c r="M74" s="6941"/>
      <c r="N74" s="6941"/>
      <c r="O74" s="6941"/>
      <c r="P74" s="6942"/>
      <c r="Q74" s="6942"/>
      <c r="R74" s="6943">
        <v>1</v>
      </c>
      <c r="S74" s="6944" t="str">
        <f>$K74</f>
        <v>.1</v>
      </c>
      <c r="T74" s="6945"/>
      <c r="U74" s="6946"/>
      <c r="V74" s="6947"/>
      <c r="W74" s="6948"/>
      <c r="X74" s="6947"/>
      <c r="Y74" s="6948"/>
      <c r="Z74" s="6935"/>
      <c r="AA74" s="6949" t="s">
        <v>65</v>
      </c>
      <c r="AB74" s="6935"/>
      <c r="AC74" s="6949" t="s">
        <v>65</v>
      </c>
      <c r="AD74" s="6060" t="s">
        <v>65</v>
      </c>
      <c r="AE74" s="6950"/>
      <c r="AF74" s="6951">
        <v>1</v>
      </c>
      <c r="AG74" s="6952"/>
      <c r="AH74" s="6949" t="s">
        <v>65</v>
      </c>
      <c r="AI74" s="6953" t="s">
        <v>489</v>
      </c>
      <c r="AJ74" s="6951" t="s">
        <v>109</v>
      </c>
      <c r="AK74" s="6954" t="s">
        <v>520</v>
      </c>
      <c r="AL74" s="6949" t="s">
        <v>19</v>
      </c>
      <c r="AM74" s="6955"/>
      <c r="AN74" s="6951">
        <v>1</v>
      </c>
      <c r="AO74" s="6956" t="s">
        <v>28</v>
      </c>
      <c r="AP74" s="6957" t="s">
        <v>65</v>
      </c>
      <c r="AQ74" s="6958"/>
      <c r="AR74" s="6951">
        <v>1</v>
      </c>
      <c r="AS74" s="6959" t="s">
        <v>525</v>
      </c>
      <c r="AT74" s="6947"/>
      <c r="AU74" s="6948">
        <v>37.22328</v>
      </c>
      <c r="AV74" s="6947"/>
      <c r="AW74" s="6948">
        <v>4.27246</v>
      </c>
      <c r="AX74" s="6935">
        <v>45658</v>
      </c>
      <c r="AY74" s="6949" t="s">
        <v>65</v>
      </c>
      <c r="AZ74" s="6935">
        <v>46022</v>
      </c>
      <c r="BA74" s="6949" t="s">
        <v>65</v>
      </c>
      <c r="BB74" s="6960"/>
      <c r="BC74" s="6961" t="s">
        <v>503</v>
      </c>
      <c r="BD74" s="6962"/>
      <c r="BE74" s="6963"/>
      <c r="BF74" s="6963" t="str">
        <f>IF(T74="","",T74)</f>
        <v/>
      </c>
      <c r="BG74" s="6963"/>
      <c r="BH74" s="6963"/>
      <c r="BI74" s="6964">
        <v>0</v>
      </c>
    </row>
    <row customHeight="1" ht="14.25">
      <c r="A75" s="6936"/>
      <c r="B75" s="6936"/>
      <c r="C75" s="6936"/>
      <c r="D75" s="6936"/>
      <c r="E75" s="6937"/>
      <c r="F75" s="6937"/>
      <c r="G75" s="6937"/>
      <c r="H75" s="6937"/>
      <c r="I75" s="6938"/>
      <c r="J75" s="6938"/>
      <c r="K75" s="6939"/>
      <c r="L75" s="6940"/>
      <c r="M75" s="6941"/>
      <c r="N75" s="6941"/>
      <c r="O75" s="6941"/>
      <c r="P75" s="6942"/>
      <c r="Q75" s="6942"/>
      <c r="R75" s="6943"/>
      <c r="S75" s="6965"/>
      <c r="T75" s="6966"/>
      <c r="U75" s="6946"/>
      <c r="V75" s="7234"/>
      <c r="W75" s="7235"/>
      <c r="X75" s="7236"/>
      <c r="Y75" s="7237"/>
      <c r="Z75" s="7238"/>
      <c r="AA75" s="7239"/>
      <c r="AB75" s="7240"/>
      <c r="AC75" s="7241"/>
      <c r="AD75" s="6066"/>
      <c r="AE75" s="6950"/>
      <c r="AF75" s="6951"/>
      <c r="AG75" s="6952"/>
      <c r="AH75" s="6949"/>
      <c r="AI75" s="6950"/>
      <c r="AJ75" s="6951">
        <v>1</v>
      </c>
      <c r="AK75" s="6954"/>
      <c r="AL75" s="6949"/>
      <c r="AM75" s="6975"/>
      <c r="AN75" s="6951"/>
      <c r="AO75" s="6956" t="s">
        <v>28</v>
      </c>
      <c r="AP75" s="6976"/>
      <c r="AQ75" s="7242"/>
      <c r="AR75" s="7243"/>
      <c r="AS75" s="7244" t="s">
        <v>504</v>
      </c>
      <c r="AT75" s="7245"/>
      <c r="AU75" s="7246"/>
      <c r="AV75" s="7247"/>
      <c r="AW75" s="7248"/>
      <c r="AX75" s="7249"/>
      <c r="AY75" s="7250"/>
      <c r="AZ75" s="7251"/>
      <c r="BA75" s="7252"/>
      <c r="BB75" s="7253"/>
      <c r="BC75" s="6989"/>
      <c r="BD75" s="6962"/>
      <c r="BE75" s="6963"/>
      <c r="BF75" s="6963"/>
      <c r="BG75" s="6963"/>
      <c r="BH75" s="6963"/>
      <c r="BI75" s="6964">
        <v>0</v>
      </c>
    </row>
    <row customHeight="1" ht="14.25">
      <c r="A76" s="6936"/>
      <c r="B76" s="6936"/>
      <c r="C76" s="6936"/>
      <c r="D76" s="6936"/>
      <c r="E76" s="6937"/>
      <c r="F76" s="6937"/>
      <c r="G76" s="6937"/>
      <c r="H76" s="6937"/>
      <c r="I76" s="6938"/>
      <c r="J76" s="6938"/>
      <c r="K76" s="6939"/>
      <c r="L76" s="6940"/>
      <c r="M76" s="6941"/>
      <c r="N76" s="6941"/>
      <c r="O76" s="6941"/>
      <c r="P76" s="6942"/>
      <c r="Q76" s="6942"/>
      <c r="R76" s="6943"/>
      <c r="S76" s="6965"/>
      <c r="T76" s="6966"/>
      <c r="U76" s="6946"/>
      <c r="V76" s="7254"/>
      <c r="W76" s="7255"/>
      <c r="X76" s="7256"/>
      <c r="Y76" s="7257"/>
      <c r="Z76" s="7258"/>
      <c r="AA76" s="7259"/>
      <c r="AB76" s="7260"/>
      <c r="AC76" s="7261"/>
      <c r="AD76" s="6066"/>
      <c r="AE76" s="6950"/>
      <c r="AF76" s="6951"/>
      <c r="AG76" s="6952"/>
      <c r="AH76" s="6949"/>
      <c r="AI76" s="6950"/>
      <c r="AJ76" s="6951">
        <v>1</v>
      </c>
      <c r="AK76" s="6954"/>
      <c r="AL76" s="6949"/>
      <c r="AM76" s="7262"/>
      <c r="AN76" s="7263"/>
      <c r="AO76" s="7264" t="s">
        <v>505</v>
      </c>
      <c r="AP76" s="7265"/>
      <c r="AQ76" s="7266"/>
      <c r="AR76" s="7267"/>
      <c r="AS76" s="7268"/>
      <c r="AT76" s="7269"/>
      <c r="AU76" s="7270"/>
      <c r="AV76" s="7271"/>
      <c r="AW76" s="7272"/>
      <c r="AX76" s="7273"/>
      <c r="AY76" s="7274"/>
      <c r="AZ76" s="7275"/>
      <c r="BA76" s="7276"/>
      <c r="BB76" s="7277"/>
      <c r="BC76" s="6989"/>
      <c r="BD76" s="6962"/>
      <c r="BE76" s="6963"/>
      <c r="BF76" s="6963"/>
      <c r="BG76" s="6963"/>
      <c r="BH76" s="6963"/>
      <c r="BI76" s="6964">
        <v>0</v>
      </c>
    </row>
    <row customHeight="1" ht="14.25">
      <c r="A77" s="6936"/>
      <c r="B77" s="6936"/>
      <c r="C77" s="6936"/>
      <c r="D77" s="6936"/>
      <c r="E77" s="6937"/>
      <c r="F77" s="6937"/>
      <c r="G77" s="6937"/>
      <c r="H77" s="6937"/>
      <c r="I77" s="6938"/>
      <c r="J77" s="6938"/>
      <c r="K77" s="6939" t="str">
        <f>S73&amp;".1"</f>
        <v>.1</v>
      </c>
      <c r="L77" s="6940"/>
      <c r="M77" s="6941"/>
      <c r="N77" s="6941"/>
      <c r="O77" s="6941"/>
      <c r="P77" s="6942"/>
      <c r="Q77" s="6942"/>
      <c r="R77" s="6943">
        <v>1</v>
      </c>
      <c r="S77" s="6944" t="str">
        <f>$K77</f>
        <v>.1</v>
      </c>
      <c r="T77" s="6945"/>
      <c r="U77" s="6946"/>
      <c r="V77" s="6947"/>
      <c r="W77" s="6948"/>
      <c r="X77" s="6947"/>
      <c r="Y77" s="6948"/>
      <c r="Z77" s="6935"/>
      <c r="AA77" s="6949" t="s">
        <v>65</v>
      </c>
      <c r="AB77" s="6935"/>
      <c r="AC77" s="6949" t="s">
        <v>65</v>
      </c>
      <c r="AD77" s="6060" t="s">
        <v>65</v>
      </c>
      <c r="AE77" s="6950"/>
      <c r="AF77" s="6951">
        <v>1</v>
      </c>
      <c r="AG77" s="6952"/>
      <c r="AH77" s="6949" t="s">
        <v>65</v>
      </c>
      <c r="AI77" s="6953" t="s">
        <v>489</v>
      </c>
      <c r="AJ77" s="6951" t="s">
        <v>89</v>
      </c>
      <c r="AK77" s="6954" t="s">
        <v>521</v>
      </c>
      <c r="AL77" s="6949" t="s">
        <v>19</v>
      </c>
      <c r="AM77" s="6955"/>
      <c r="AN77" s="6951">
        <v>1</v>
      </c>
      <c r="AO77" s="6956" t="s">
        <v>28</v>
      </c>
      <c r="AP77" s="6957" t="s">
        <v>65</v>
      </c>
      <c r="AQ77" s="6958"/>
      <c r="AR77" s="6951">
        <v>1</v>
      </c>
      <c r="AS77" s="6959" t="s">
        <v>525</v>
      </c>
      <c r="AT77" s="6947"/>
      <c r="AU77" s="6948">
        <v>37.22328</v>
      </c>
      <c r="AV77" s="6947"/>
      <c r="AW77" s="6948">
        <v>18.98051</v>
      </c>
      <c r="AX77" s="6935">
        <v>45658</v>
      </c>
      <c r="AY77" s="6949" t="s">
        <v>65</v>
      </c>
      <c r="AZ77" s="6935">
        <v>46022</v>
      </c>
      <c r="BA77" s="6949" t="s">
        <v>65</v>
      </c>
      <c r="BB77" s="6960"/>
      <c r="BC77" s="6961" t="s">
        <v>503</v>
      </c>
      <c r="BD77" s="6962"/>
      <c r="BE77" s="6963"/>
      <c r="BF77" s="6963" t="str">
        <f>IF(T77="","",T77)</f>
        <v/>
      </c>
      <c r="BG77" s="6963"/>
      <c r="BH77" s="6963"/>
      <c r="BI77" s="6964">
        <v>0</v>
      </c>
    </row>
    <row customHeight="1" ht="14.25">
      <c r="A78" s="6936"/>
      <c r="B78" s="6936"/>
      <c r="C78" s="6936"/>
      <c r="D78" s="6936"/>
      <c r="E78" s="6937"/>
      <c r="F78" s="6937"/>
      <c r="G78" s="6937"/>
      <c r="H78" s="6937"/>
      <c r="I78" s="6938"/>
      <c r="J78" s="6938"/>
      <c r="K78" s="6939"/>
      <c r="L78" s="6940"/>
      <c r="M78" s="6941"/>
      <c r="N78" s="6941"/>
      <c r="O78" s="6941"/>
      <c r="P78" s="6942"/>
      <c r="Q78" s="6942"/>
      <c r="R78" s="6943"/>
      <c r="S78" s="6965"/>
      <c r="T78" s="6966"/>
      <c r="U78" s="6946"/>
      <c r="V78" s="7278"/>
      <c r="W78" s="7279"/>
      <c r="X78" s="7280"/>
      <c r="Y78" s="7281"/>
      <c r="Z78" s="7282"/>
      <c r="AA78" s="7283"/>
      <c r="AB78" s="7284"/>
      <c r="AC78" s="7285"/>
      <c r="AD78" s="6066"/>
      <c r="AE78" s="6950"/>
      <c r="AF78" s="6951"/>
      <c r="AG78" s="6952"/>
      <c r="AH78" s="6949"/>
      <c r="AI78" s="6950"/>
      <c r="AJ78" s="6951" t="s">
        <v>109</v>
      </c>
      <c r="AK78" s="6954"/>
      <c r="AL78" s="6949"/>
      <c r="AM78" s="6975"/>
      <c r="AN78" s="6951"/>
      <c r="AO78" s="6956" t="s">
        <v>28</v>
      </c>
      <c r="AP78" s="6976"/>
      <c r="AQ78" s="7286"/>
      <c r="AR78" s="7287"/>
      <c r="AS78" s="7288" t="s">
        <v>504</v>
      </c>
      <c r="AT78" s="7289"/>
      <c r="AU78" s="7290"/>
      <c r="AV78" s="7291"/>
      <c r="AW78" s="7292"/>
      <c r="AX78" s="7293"/>
      <c r="AY78" s="7294"/>
      <c r="AZ78" s="7295"/>
      <c r="BA78" s="7296"/>
      <c r="BB78" s="7297"/>
      <c r="BC78" s="6989"/>
      <c r="BD78" s="6962"/>
      <c r="BE78" s="6963"/>
      <c r="BF78" s="6963"/>
      <c r="BG78" s="6963"/>
      <c r="BH78" s="6963"/>
      <c r="BI78" s="6964">
        <v>0</v>
      </c>
    </row>
    <row customHeight="1" ht="14.25">
      <c r="A79" s="6936"/>
      <c r="B79" s="6936"/>
      <c r="C79" s="6936"/>
      <c r="D79" s="6936"/>
      <c r="E79" s="6937"/>
      <c r="F79" s="6937"/>
      <c r="G79" s="6937"/>
      <c r="H79" s="6937"/>
      <c r="I79" s="6938"/>
      <c r="J79" s="6938"/>
      <c r="K79" s="6939"/>
      <c r="L79" s="6940"/>
      <c r="M79" s="6941"/>
      <c r="N79" s="6941"/>
      <c r="O79" s="6941"/>
      <c r="P79" s="6942"/>
      <c r="Q79" s="6942"/>
      <c r="R79" s="6943"/>
      <c r="S79" s="6965"/>
      <c r="T79" s="6966"/>
      <c r="U79" s="6946"/>
      <c r="V79" s="7298"/>
      <c r="W79" s="7299"/>
      <c r="X79" s="7300"/>
      <c r="Y79" s="7301"/>
      <c r="Z79" s="7302"/>
      <c r="AA79" s="7303"/>
      <c r="AB79" s="7304"/>
      <c r="AC79" s="7305"/>
      <c r="AD79" s="6066"/>
      <c r="AE79" s="6950"/>
      <c r="AF79" s="6951"/>
      <c r="AG79" s="6952"/>
      <c r="AH79" s="6949"/>
      <c r="AI79" s="6950"/>
      <c r="AJ79" s="6951" t="s">
        <v>109</v>
      </c>
      <c r="AK79" s="6954"/>
      <c r="AL79" s="6949"/>
      <c r="AM79" s="7306"/>
      <c r="AN79" s="7307"/>
      <c r="AO79" s="7308" t="s">
        <v>505</v>
      </c>
      <c r="AP79" s="7309"/>
      <c r="AQ79" s="7310"/>
      <c r="AR79" s="7311"/>
      <c r="AS79" s="7312"/>
      <c r="AT79" s="7313"/>
      <c r="AU79" s="7314"/>
      <c r="AV79" s="7315"/>
      <c r="AW79" s="7316"/>
      <c r="AX79" s="7317"/>
      <c r="AY79" s="7318"/>
      <c r="AZ79" s="7319"/>
      <c r="BA79" s="7320"/>
      <c r="BB79" s="7321"/>
      <c r="BC79" s="6989"/>
      <c r="BD79" s="6962"/>
      <c r="BE79" s="6963"/>
      <c r="BF79" s="6963"/>
      <c r="BG79" s="6963"/>
      <c r="BH79" s="6963"/>
      <c r="BI79" s="6964">
        <v>0</v>
      </c>
    </row>
    <row customHeight="1" ht="14.25">
      <c r="A80" s="6936"/>
      <c r="B80" s="6936"/>
      <c r="C80" s="6936"/>
      <c r="D80" s="6936"/>
      <c r="E80" s="6937"/>
      <c r="F80" s="6937"/>
      <c r="G80" s="6937"/>
      <c r="H80" s="6937"/>
      <c r="I80" s="6938"/>
      <c r="J80" s="6938"/>
      <c r="K80" s="6939" t="str">
        <f>S76&amp;".1"</f>
        <v>.1</v>
      </c>
      <c r="L80" s="6940"/>
      <c r="M80" s="6941"/>
      <c r="N80" s="6941"/>
      <c r="O80" s="6941"/>
      <c r="P80" s="6942"/>
      <c r="Q80" s="6942"/>
      <c r="R80" s="6943">
        <v>1</v>
      </c>
      <c r="S80" s="6944" t="str">
        <f>$K80</f>
        <v>.1</v>
      </c>
      <c r="T80" s="6945"/>
      <c r="U80" s="6946"/>
      <c r="V80" s="6947"/>
      <c r="W80" s="6948"/>
      <c r="X80" s="6947"/>
      <c r="Y80" s="6948"/>
      <c r="Z80" s="6935"/>
      <c r="AA80" s="6949" t="s">
        <v>65</v>
      </c>
      <c r="AB80" s="6935"/>
      <c r="AC80" s="6949" t="s">
        <v>65</v>
      </c>
      <c r="AD80" s="6060" t="s">
        <v>65</v>
      </c>
      <c r="AE80" s="6950"/>
      <c r="AF80" s="6951">
        <v>1</v>
      </c>
      <c r="AG80" s="6952"/>
      <c r="AH80" s="6949" t="s">
        <v>65</v>
      </c>
      <c r="AI80" s="6953" t="s">
        <v>489</v>
      </c>
      <c r="AJ80" s="6951" t="s">
        <v>90</v>
      </c>
      <c r="AK80" s="6954" t="s">
        <v>522</v>
      </c>
      <c r="AL80" s="6949" t="s">
        <v>19</v>
      </c>
      <c r="AM80" s="6955"/>
      <c r="AN80" s="6951">
        <v>1</v>
      </c>
      <c r="AO80" s="6956" t="s">
        <v>28</v>
      </c>
      <c r="AP80" s="6957" t="s">
        <v>65</v>
      </c>
      <c r="AQ80" s="6958"/>
      <c r="AR80" s="6951">
        <v>1</v>
      </c>
      <c r="AS80" s="6959" t="s">
        <v>525</v>
      </c>
      <c r="AT80" s="6947"/>
      <c r="AU80" s="6948">
        <v>37.22328</v>
      </c>
      <c r="AV80" s="6947"/>
      <c r="AW80" s="6948">
        <v>8.87541</v>
      </c>
      <c r="AX80" s="6935">
        <v>45658</v>
      </c>
      <c r="AY80" s="6949" t="s">
        <v>65</v>
      </c>
      <c r="AZ80" s="6935">
        <v>46022</v>
      </c>
      <c r="BA80" s="6949" t="s">
        <v>65</v>
      </c>
      <c r="BB80" s="6960"/>
      <c r="BC80" s="6961" t="s">
        <v>503</v>
      </c>
      <c r="BD80" s="6962"/>
      <c r="BE80" s="6963"/>
      <c r="BF80" s="6963" t="str">
        <f>IF(T80="","",T80)</f>
        <v/>
      </c>
      <c r="BG80" s="6963"/>
      <c r="BH80" s="6963"/>
      <c r="BI80" s="6964">
        <v>0</v>
      </c>
    </row>
    <row customHeight="1" ht="14.25">
      <c r="A81" s="6936"/>
      <c r="B81" s="6936"/>
      <c r="C81" s="6936"/>
      <c r="D81" s="6936"/>
      <c r="E81" s="6937"/>
      <c r="F81" s="6937"/>
      <c r="G81" s="6937"/>
      <c r="H81" s="6937"/>
      <c r="I81" s="6938"/>
      <c r="J81" s="6938"/>
      <c r="K81" s="6939"/>
      <c r="L81" s="6940"/>
      <c r="M81" s="6941"/>
      <c r="N81" s="6941"/>
      <c r="O81" s="6941"/>
      <c r="P81" s="6942"/>
      <c r="Q81" s="6942"/>
      <c r="R81" s="6943"/>
      <c r="S81" s="6965"/>
      <c r="T81" s="6966"/>
      <c r="U81" s="6946"/>
      <c r="V81" s="7322"/>
      <c r="W81" s="7323"/>
      <c r="X81" s="7324"/>
      <c r="Y81" s="7325"/>
      <c r="Z81" s="7326"/>
      <c r="AA81" s="7327"/>
      <c r="AB81" s="7328"/>
      <c r="AC81" s="7329"/>
      <c r="AD81" s="6066"/>
      <c r="AE81" s="6950"/>
      <c r="AF81" s="6951"/>
      <c r="AG81" s="6952"/>
      <c r="AH81" s="6949"/>
      <c r="AI81" s="6950"/>
      <c r="AJ81" s="6951" t="s">
        <v>89</v>
      </c>
      <c r="AK81" s="6954"/>
      <c r="AL81" s="6949"/>
      <c r="AM81" s="6975"/>
      <c r="AN81" s="6951"/>
      <c r="AO81" s="6956" t="s">
        <v>28</v>
      </c>
      <c r="AP81" s="6976"/>
      <c r="AQ81" s="7330"/>
      <c r="AR81" s="7331"/>
      <c r="AS81" s="7332" t="s">
        <v>504</v>
      </c>
      <c r="AT81" s="7333"/>
      <c r="AU81" s="7334"/>
      <c r="AV81" s="7335"/>
      <c r="AW81" s="7336"/>
      <c r="AX81" s="7337"/>
      <c r="AY81" s="7338"/>
      <c r="AZ81" s="7339"/>
      <c r="BA81" s="7340"/>
      <c r="BB81" s="7341"/>
      <c r="BC81" s="6989"/>
      <c r="BD81" s="6962"/>
      <c r="BE81" s="6963"/>
      <c r="BF81" s="6963"/>
      <c r="BG81" s="6963"/>
      <c r="BH81" s="6963"/>
      <c r="BI81" s="6964">
        <v>0</v>
      </c>
    </row>
    <row customHeight="1" ht="14.25">
      <c r="A82" s="6936"/>
      <c r="B82" s="6936"/>
      <c r="C82" s="6936"/>
      <c r="D82" s="6936"/>
      <c r="E82" s="6937"/>
      <c r="F82" s="6937"/>
      <c r="G82" s="6937"/>
      <c r="H82" s="6937"/>
      <c r="I82" s="6938"/>
      <c r="J82" s="6938"/>
      <c r="K82" s="6939"/>
      <c r="L82" s="6940"/>
      <c r="M82" s="6941"/>
      <c r="N82" s="6941"/>
      <c r="O82" s="6941"/>
      <c r="P82" s="6942"/>
      <c r="Q82" s="6942"/>
      <c r="R82" s="6943"/>
      <c r="S82" s="6965"/>
      <c r="T82" s="6966"/>
      <c r="U82" s="6946"/>
      <c r="V82" s="7342"/>
      <c r="W82" s="7343"/>
      <c r="X82" s="7344"/>
      <c r="Y82" s="7345"/>
      <c r="Z82" s="7346"/>
      <c r="AA82" s="7347"/>
      <c r="AB82" s="7348"/>
      <c r="AC82" s="7349"/>
      <c r="AD82" s="6066"/>
      <c r="AE82" s="6950"/>
      <c r="AF82" s="6951"/>
      <c r="AG82" s="6952"/>
      <c r="AH82" s="6949"/>
      <c r="AI82" s="6950"/>
      <c r="AJ82" s="6951" t="s">
        <v>89</v>
      </c>
      <c r="AK82" s="6954"/>
      <c r="AL82" s="6949"/>
      <c r="AM82" s="7350"/>
      <c r="AN82" s="7351"/>
      <c r="AO82" s="7352" t="s">
        <v>505</v>
      </c>
      <c r="AP82" s="7353"/>
      <c r="AQ82" s="7354"/>
      <c r="AR82" s="7355"/>
      <c r="AS82" s="7356"/>
      <c r="AT82" s="7357"/>
      <c r="AU82" s="7358"/>
      <c r="AV82" s="7359"/>
      <c r="AW82" s="7360"/>
      <c r="AX82" s="7361"/>
      <c r="AY82" s="7362"/>
      <c r="AZ82" s="7363"/>
      <c r="BA82" s="7364"/>
      <c r="BB82" s="7365"/>
      <c r="BC82" s="6989"/>
      <c r="BD82" s="6962"/>
      <c r="BE82" s="6963"/>
      <c r="BF82" s="6963"/>
      <c r="BG82" s="6963"/>
      <c r="BH82" s="6963"/>
      <c r="BI82" s="6964">
        <v>0</v>
      </c>
    </row>
    <row customHeight="1" ht="14.25">
      <c r="A83" s="6936"/>
      <c r="B83" s="6936"/>
      <c r="C83" s="6936"/>
      <c r="D83" s="6936"/>
      <c r="E83" s="6937"/>
      <c r="F83" s="6937"/>
      <c r="G83" s="6937"/>
      <c r="H83" s="6937"/>
      <c r="I83" s="6938"/>
      <c r="J83" s="6938"/>
      <c r="K83" s="6939" t="str">
        <f>S79&amp;".1"</f>
        <v>.1</v>
      </c>
      <c r="L83" s="6940"/>
      <c r="M83" s="6941"/>
      <c r="N83" s="6941"/>
      <c r="O83" s="6941"/>
      <c r="P83" s="6942"/>
      <c r="Q83" s="6942"/>
      <c r="R83" s="6943">
        <v>1</v>
      </c>
      <c r="S83" s="6944" t="str">
        <f>$K83</f>
        <v>.1</v>
      </c>
      <c r="T83" s="6945"/>
      <c r="U83" s="6946"/>
      <c r="V83" s="6947"/>
      <c r="W83" s="6948"/>
      <c r="X83" s="6947"/>
      <c r="Y83" s="6948"/>
      <c r="Z83" s="6935"/>
      <c r="AA83" s="6949" t="s">
        <v>65</v>
      </c>
      <c r="AB83" s="6935"/>
      <c r="AC83" s="6949" t="s">
        <v>65</v>
      </c>
      <c r="AD83" s="6060" t="s">
        <v>65</v>
      </c>
      <c r="AE83" s="6950"/>
      <c r="AF83" s="6951">
        <v>1</v>
      </c>
      <c r="AG83" s="6952"/>
      <c r="AH83" s="6949" t="s">
        <v>65</v>
      </c>
      <c r="AI83" s="6953" t="s">
        <v>489</v>
      </c>
      <c r="AJ83" s="6951" t="s">
        <v>110</v>
      </c>
      <c r="AK83" s="6954" t="s">
        <v>523</v>
      </c>
      <c r="AL83" s="6949" t="s">
        <v>19</v>
      </c>
      <c r="AM83" s="6955"/>
      <c r="AN83" s="6951">
        <v>1</v>
      </c>
      <c r="AO83" s="6956" t="s">
        <v>28</v>
      </c>
      <c r="AP83" s="6957" t="s">
        <v>65</v>
      </c>
      <c r="AQ83" s="6958"/>
      <c r="AR83" s="6951">
        <v>1</v>
      </c>
      <c r="AS83" s="6959" t="s">
        <v>525</v>
      </c>
      <c r="AT83" s="6947"/>
      <c r="AU83" s="6948">
        <v>37.22328</v>
      </c>
      <c r="AV83" s="6947"/>
      <c r="AW83" s="6948">
        <v>10.59101</v>
      </c>
      <c r="AX83" s="6935">
        <v>45658</v>
      </c>
      <c r="AY83" s="6949" t="s">
        <v>65</v>
      </c>
      <c r="AZ83" s="6935">
        <v>46022</v>
      </c>
      <c r="BA83" s="6949" t="s">
        <v>65</v>
      </c>
      <c r="BB83" s="6960"/>
      <c r="BC83" s="6961" t="s">
        <v>503</v>
      </c>
      <c r="BD83" s="6962"/>
      <c r="BE83" s="6963"/>
      <c r="BF83" s="6963" t="str">
        <f>IF(T83="","",T83)</f>
        <v/>
      </c>
      <c r="BG83" s="6963"/>
      <c r="BH83" s="6963"/>
      <c r="BI83" s="6964">
        <v>0</v>
      </c>
    </row>
    <row customHeight="1" ht="14.25">
      <c r="A84" s="6936"/>
      <c r="B84" s="6936"/>
      <c r="C84" s="6936"/>
      <c r="D84" s="6936"/>
      <c r="E84" s="6937"/>
      <c r="F84" s="6937"/>
      <c r="G84" s="6937"/>
      <c r="H84" s="6937"/>
      <c r="I84" s="6938"/>
      <c r="J84" s="6938"/>
      <c r="K84" s="6939"/>
      <c r="L84" s="6940"/>
      <c r="M84" s="6941"/>
      <c r="N84" s="6941"/>
      <c r="O84" s="6941"/>
      <c r="P84" s="6942"/>
      <c r="Q84" s="6942"/>
      <c r="R84" s="6943"/>
      <c r="S84" s="6965"/>
      <c r="T84" s="6966"/>
      <c r="U84" s="6946"/>
      <c r="V84" s="7366"/>
      <c r="W84" s="7367"/>
      <c r="X84" s="7368"/>
      <c r="Y84" s="7369"/>
      <c r="Z84" s="7370"/>
      <c r="AA84" s="7371"/>
      <c r="AB84" s="7372"/>
      <c r="AC84" s="7373"/>
      <c r="AD84" s="6066"/>
      <c r="AE84" s="6950"/>
      <c r="AF84" s="6951"/>
      <c r="AG84" s="6952"/>
      <c r="AH84" s="6949"/>
      <c r="AI84" s="6950"/>
      <c r="AJ84" s="6951" t="s">
        <v>90</v>
      </c>
      <c r="AK84" s="6954"/>
      <c r="AL84" s="6949"/>
      <c r="AM84" s="6975"/>
      <c r="AN84" s="6951"/>
      <c r="AO84" s="6956" t="s">
        <v>28</v>
      </c>
      <c r="AP84" s="6976"/>
      <c r="AQ84" s="7374"/>
      <c r="AR84" s="7375"/>
      <c r="AS84" s="7376" t="s">
        <v>504</v>
      </c>
      <c r="AT84" s="7377"/>
      <c r="AU84" s="7378"/>
      <c r="AV84" s="7379"/>
      <c r="AW84" s="7380"/>
      <c r="AX84" s="7381"/>
      <c r="AY84" s="7382"/>
      <c r="AZ84" s="7383"/>
      <c r="BA84" s="7384"/>
      <c r="BB84" s="7385"/>
      <c r="BC84" s="6989"/>
      <c r="BD84" s="6962"/>
      <c r="BE84" s="6963"/>
      <c r="BF84" s="6963"/>
      <c r="BG84" s="6963"/>
      <c r="BH84" s="6963"/>
      <c r="BI84" s="6964">
        <v>0</v>
      </c>
    </row>
    <row customHeight="1" ht="14.25">
      <c r="A85" s="6936"/>
      <c r="B85" s="6936"/>
      <c r="C85" s="6936"/>
      <c r="D85" s="6936"/>
      <c r="E85" s="6937"/>
      <c r="F85" s="6937"/>
      <c r="G85" s="6937"/>
      <c r="H85" s="6937"/>
      <c r="I85" s="6938"/>
      <c r="J85" s="6938"/>
      <c r="K85" s="6939"/>
      <c r="L85" s="6940"/>
      <c r="M85" s="6941"/>
      <c r="N85" s="6941"/>
      <c r="O85" s="6941"/>
      <c r="P85" s="6942"/>
      <c r="Q85" s="6942"/>
      <c r="R85" s="6943"/>
      <c r="S85" s="6965"/>
      <c r="T85" s="6966"/>
      <c r="U85" s="6946"/>
      <c r="V85" s="7386"/>
      <c r="W85" s="7387"/>
      <c r="X85" s="7388"/>
      <c r="Y85" s="7389"/>
      <c r="Z85" s="7390"/>
      <c r="AA85" s="7391"/>
      <c r="AB85" s="7392"/>
      <c r="AC85" s="7393"/>
      <c r="AD85" s="6066"/>
      <c r="AE85" s="6950"/>
      <c r="AF85" s="6951"/>
      <c r="AG85" s="6952"/>
      <c r="AH85" s="6949"/>
      <c r="AI85" s="6950"/>
      <c r="AJ85" s="6951" t="s">
        <v>90</v>
      </c>
      <c r="AK85" s="6954"/>
      <c r="AL85" s="6949"/>
      <c r="AM85" s="7394"/>
      <c r="AN85" s="7395"/>
      <c r="AO85" s="7396" t="s">
        <v>505</v>
      </c>
      <c r="AP85" s="7397"/>
      <c r="AQ85" s="7398"/>
      <c r="AR85" s="7399"/>
      <c r="AS85" s="7400"/>
      <c r="AT85" s="7401"/>
      <c r="AU85" s="7402"/>
      <c r="AV85" s="7403"/>
      <c r="AW85" s="7404"/>
      <c r="AX85" s="7405"/>
      <c r="AY85" s="7406"/>
      <c r="AZ85" s="7407"/>
      <c r="BA85" s="7408"/>
      <c r="BB85" s="7409"/>
      <c r="BC85" s="6989"/>
      <c r="BD85" s="6962"/>
      <c r="BE85" s="6963"/>
      <c r="BF85" s="6963"/>
      <c r="BG85" s="6963"/>
      <c r="BH85" s="6963"/>
      <c r="BI85" s="6964">
        <v>0</v>
      </c>
    </row>
    <row customHeight="1" ht="14.25">
      <c r="A86" s="6936"/>
      <c r="B86" s="6936"/>
      <c r="C86" s="6936"/>
      <c r="D86" s="6936"/>
      <c r="E86" s="6937"/>
      <c r="F86" s="6937"/>
      <c r="G86" s="6937"/>
      <c r="H86" s="6937"/>
      <c r="I86" s="6938"/>
      <c r="J86" s="6938"/>
      <c r="K86" s="6939" t="str">
        <f>S82&amp;".1"</f>
        <v>.1</v>
      </c>
      <c r="L86" s="6940"/>
      <c r="M86" s="6941"/>
      <c r="N86" s="6941"/>
      <c r="O86" s="6941"/>
      <c r="P86" s="6942"/>
      <c r="Q86" s="6942"/>
      <c r="R86" s="6943">
        <v>1</v>
      </c>
      <c r="S86" s="6944" t="str">
        <f>$K86</f>
        <v>.1</v>
      </c>
      <c r="T86" s="6945"/>
      <c r="U86" s="6946"/>
      <c r="V86" s="6947"/>
      <c r="W86" s="6948"/>
      <c r="X86" s="6947"/>
      <c r="Y86" s="6948"/>
      <c r="Z86" s="6935"/>
      <c r="AA86" s="6949" t="s">
        <v>65</v>
      </c>
      <c r="AB86" s="6935"/>
      <c r="AC86" s="6949" t="s">
        <v>65</v>
      </c>
      <c r="AD86" s="6060" t="s">
        <v>65</v>
      </c>
      <c r="AE86" s="6950"/>
      <c r="AF86" s="6951">
        <v>1</v>
      </c>
      <c r="AG86" s="6952"/>
      <c r="AH86" s="6949" t="s">
        <v>65</v>
      </c>
      <c r="AI86" s="6953" t="s">
        <v>489</v>
      </c>
      <c r="AJ86" s="6951" t="s">
        <v>91</v>
      </c>
      <c r="AK86" s="6954" t="s">
        <v>524</v>
      </c>
      <c r="AL86" s="6949" t="s">
        <v>19</v>
      </c>
      <c r="AM86" s="6955"/>
      <c r="AN86" s="6951">
        <v>1</v>
      </c>
      <c r="AO86" s="6956" t="s">
        <v>28</v>
      </c>
      <c r="AP86" s="6957" t="s">
        <v>65</v>
      </c>
      <c r="AQ86" s="6958"/>
      <c r="AR86" s="6951">
        <v>1</v>
      </c>
      <c r="AS86" s="6959" t="s">
        <v>525</v>
      </c>
      <c r="AT86" s="6947"/>
      <c r="AU86" s="6948">
        <v>37.22328</v>
      </c>
      <c r="AV86" s="6947"/>
      <c r="AW86" s="6948">
        <v>8.71719</v>
      </c>
      <c r="AX86" s="6935">
        <v>45658</v>
      </c>
      <c r="AY86" s="6949" t="s">
        <v>65</v>
      </c>
      <c r="AZ86" s="6935">
        <v>46022</v>
      </c>
      <c r="BA86" s="6949" t="s">
        <v>65</v>
      </c>
      <c r="BB86" s="6960"/>
      <c r="BC86" s="6961" t="s">
        <v>503</v>
      </c>
      <c r="BD86" s="6962"/>
      <c r="BE86" s="6963"/>
      <c r="BF86" s="6963" t="str">
        <f>IF(T86="","",T86)</f>
        <v/>
      </c>
      <c r="BG86" s="6963"/>
      <c r="BH86" s="6963"/>
      <c r="BI86" s="6964">
        <v>0</v>
      </c>
    </row>
    <row customHeight="1" ht="14.25">
      <c r="A87" s="6936"/>
      <c r="B87" s="6936"/>
      <c r="C87" s="6936"/>
      <c r="D87" s="6936"/>
      <c r="E87" s="6937"/>
      <c r="F87" s="6937"/>
      <c r="G87" s="6937"/>
      <c r="H87" s="6937"/>
      <c r="I87" s="6938"/>
      <c r="J87" s="6938"/>
      <c r="K87" s="6939"/>
      <c r="L87" s="6940"/>
      <c r="M87" s="6941"/>
      <c r="N87" s="6941"/>
      <c r="O87" s="6941"/>
      <c r="P87" s="6942"/>
      <c r="Q87" s="6942"/>
      <c r="R87" s="6943"/>
      <c r="S87" s="6965"/>
      <c r="T87" s="6966"/>
      <c r="U87" s="6946"/>
      <c r="V87" s="7410"/>
      <c r="W87" s="7411"/>
      <c r="X87" s="7412"/>
      <c r="Y87" s="7413"/>
      <c r="Z87" s="7414"/>
      <c r="AA87" s="7415"/>
      <c r="AB87" s="7416"/>
      <c r="AC87" s="7417"/>
      <c r="AD87" s="6066"/>
      <c r="AE87" s="6950"/>
      <c r="AF87" s="6951"/>
      <c r="AG87" s="6952"/>
      <c r="AH87" s="6949"/>
      <c r="AI87" s="6950"/>
      <c r="AJ87" s="6951" t="s">
        <v>110</v>
      </c>
      <c r="AK87" s="6954"/>
      <c r="AL87" s="6949"/>
      <c r="AM87" s="6975"/>
      <c r="AN87" s="6951"/>
      <c r="AO87" s="6956" t="s">
        <v>28</v>
      </c>
      <c r="AP87" s="6976"/>
      <c r="AQ87" s="7418"/>
      <c r="AR87" s="7419"/>
      <c r="AS87" s="7420" t="s">
        <v>504</v>
      </c>
      <c r="AT87" s="7421"/>
      <c r="AU87" s="7422"/>
      <c r="AV87" s="7423"/>
      <c r="AW87" s="7424"/>
      <c r="AX87" s="7425"/>
      <c r="AY87" s="7426"/>
      <c r="AZ87" s="7427"/>
      <c r="BA87" s="7428"/>
      <c r="BB87" s="7429"/>
      <c r="BC87" s="6989"/>
      <c r="BD87" s="6962"/>
      <c r="BE87" s="6963"/>
      <c r="BF87" s="6963"/>
      <c r="BG87" s="6963"/>
      <c r="BH87" s="6963"/>
      <c r="BI87" s="6964">
        <v>0</v>
      </c>
    </row>
    <row customHeight="1" ht="14.25">
      <c r="A88" s="6936"/>
      <c r="B88" s="6936"/>
      <c r="C88" s="6936"/>
      <c r="D88" s="6936"/>
      <c r="E88" s="6937"/>
      <c r="F88" s="6937"/>
      <c r="G88" s="6937"/>
      <c r="H88" s="6937"/>
      <c r="I88" s="6938"/>
      <c r="J88" s="6938"/>
      <c r="K88" s="6939"/>
      <c r="L88" s="6940"/>
      <c r="M88" s="6941"/>
      <c r="N88" s="6941"/>
      <c r="O88" s="6941"/>
      <c r="P88" s="6942"/>
      <c r="Q88" s="6942"/>
      <c r="R88" s="6943"/>
      <c r="S88" s="6965"/>
      <c r="T88" s="6966"/>
      <c r="U88" s="6946"/>
      <c r="V88" s="7430"/>
      <c r="W88" s="7431"/>
      <c r="X88" s="7432"/>
      <c r="Y88" s="7433"/>
      <c r="Z88" s="7434"/>
      <c r="AA88" s="7435"/>
      <c r="AB88" s="7436"/>
      <c r="AC88" s="7437"/>
      <c r="AD88" s="6066"/>
      <c r="AE88" s="6950"/>
      <c r="AF88" s="6951"/>
      <c r="AG88" s="6952"/>
      <c r="AH88" s="6949"/>
      <c r="AI88" s="6950"/>
      <c r="AJ88" s="6951" t="s">
        <v>110</v>
      </c>
      <c r="AK88" s="6954"/>
      <c r="AL88" s="6949"/>
      <c r="AM88" s="7438"/>
      <c r="AN88" s="7439"/>
      <c r="AO88" s="7440" t="s">
        <v>505</v>
      </c>
      <c r="AP88" s="7441"/>
      <c r="AQ88" s="7442"/>
      <c r="AR88" s="7443"/>
      <c r="AS88" s="7444"/>
      <c r="AT88" s="7445"/>
      <c r="AU88" s="7446"/>
      <c r="AV88" s="7447"/>
      <c r="AW88" s="7448"/>
      <c r="AX88" s="7449"/>
      <c r="AY88" s="7450"/>
      <c r="AZ88" s="7451"/>
      <c r="BA88" s="7452"/>
      <c r="BB88" s="7453"/>
      <c r="BC88" s="6989"/>
      <c r="BD88" s="6962"/>
      <c r="BE88" s="6963"/>
      <c r="BF88" s="6963"/>
      <c r="BG88" s="6963"/>
      <c r="BH88" s="6963"/>
      <c r="BI88" s="6964">
        <v>0</v>
      </c>
    </row>
    <row customHeight="1" ht="14.25">
      <c r="A89" s="6936"/>
      <c r="B89" s="6936"/>
      <c r="C89" s="6936"/>
      <c r="D89" s="6936"/>
      <c r="E89" s="6937"/>
      <c r="F89" s="6937"/>
      <c r="G89" s="6937"/>
      <c r="H89" s="6937"/>
      <c r="I89" s="6938"/>
      <c r="J89" s="6938"/>
      <c r="K89" s="6939"/>
      <c r="L89" s="6940"/>
      <c r="M89" s="6941"/>
      <c r="N89" s="6941"/>
      <c r="O89" s="6941"/>
      <c r="P89" s="6942"/>
      <c r="Q89" s="6942"/>
      <c r="R89" s="6943"/>
      <c r="S89" s="6965"/>
      <c r="T89" s="6966"/>
      <c r="U89" s="6946"/>
      <c r="V89" s="7454"/>
      <c r="W89" s="7455"/>
      <c r="X89" s="7456"/>
      <c r="Y89" s="7457"/>
      <c r="Z89" s="7458"/>
      <c r="AA89" s="7459"/>
      <c r="AB89" s="7460"/>
      <c r="AC89" s="7461"/>
      <c r="AD89" s="6066"/>
      <c r="AE89" s="6950"/>
      <c r="AF89" s="6951">
        <v>1</v>
      </c>
      <c r="AG89" s="6952"/>
      <c r="AH89" s="6949"/>
      <c r="AI89" s="7462"/>
      <c r="AJ89" s="7463"/>
      <c r="AK89" s="7464" t="s">
        <v>506</v>
      </c>
      <c r="AL89" s="7465"/>
      <c r="AM89" s="7466"/>
      <c r="AN89" s="7467"/>
      <c r="AO89" s="7468"/>
      <c r="AP89" s="7469"/>
      <c r="AQ89" s="7470"/>
      <c r="AR89" s="7471"/>
      <c r="AS89" s="7472"/>
      <c r="AT89" s="7473"/>
      <c r="AU89" s="7474"/>
      <c r="AV89" s="7475"/>
      <c r="AW89" s="7476"/>
      <c r="AX89" s="7477"/>
      <c r="AY89" s="7478"/>
      <c r="AZ89" s="7479"/>
      <c r="BA89" s="7480"/>
      <c r="BB89" s="7481"/>
      <c r="BC89" s="6989"/>
      <c r="BD89" s="6962"/>
      <c r="BE89" s="6963"/>
      <c r="BF89" s="6963"/>
      <c r="BG89" s="6963"/>
      <c r="BH89" s="6963"/>
      <c r="BI89" s="6964">
        <v>0</v>
      </c>
    </row>
    <row customHeight="1" ht="14.25">
      <c r="A90" s="6936"/>
      <c r="B90" s="6936"/>
      <c r="C90" s="6936"/>
      <c r="D90" s="6936"/>
      <c r="E90" s="6937"/>
      <c r="F90" s="6937"/>
      <c r="G90" s="6937"/>
      <c r="H90" s="6937"/>
      <c r="I90" s="6938"/>
      <c r="J90" s="6938"/>
      <c r="K90" s="6939" t="str">
        <f>S86&amp;".1"</f>
        <v>.1.1</v>
      </c>
      <c r="L90" s="6940"/>
      <c r="M90" s="6941"/>
      <c r="N90" s="6941"/>
      <c r="O90" s="6941"/>
      <c r="P90" s="6942"/>
      <c r="Q90" s="6942"/>
      <c r="R90" s="6943">
        <v>1</v>
      </c>
      <c r="S90" s="6944" t="str">
        <f>$K90</f>
        <v>.1.1</v>
      </c>
      <c r="T90" s="6945"/>
      <c r="U90" s="6946"/>
      <c r="V90" s="6947"/>
      <c r="W90" s="6948"/>
      <c r="X90" s="6947"/>
      <c r="Y90" s="6948"/>
      <c r="Z90" s="6935"/>
      <c r="AA90" s="6949" t="s">
        <v>65</v>
      </c>
      <c r="AB90" s="6935"/>
      <c r="AC90" s="6949" t="s">
        <v>65</v>
      </c>
      <c r="AD90" s="6060" t="s">
        <v>65</v>
      </c>
      <c r="AE90" s="6953" t="s">
        <v>489</v>
      </c>
      <c r="AF90" s="6951" t="s">
        <v>89</v>
      </c>
      <c r="AG90" s="6952">
        <v>250</v>
      </c>
      <c r="AH90" s="6949" t="s">
        <v>65</v>
      </c>
      <c r="AI90" s="6950"/>
      <c r="AJ90" s="6951">
        <v>1</v>
      </c>
      <c r="AK90" s="6954" t="s">
        <v>518</v>
      </c>
      <c r="AL90" s="6949" t="s">
        <v>19</v>
      </c>
      <c r="AM90" s="6955"/>
      <c r="AN90" s="6951">
        <v>1</v>
      </c>
      <c r="AO90" s="6956" t="s">
        <v>28</v>
      </c>
      <c r="AP90" s="6957" t="s">
        <v>65</v>
      </c>
      <c r="AQ90" s="6958"/>
      <c r="AR90" s="6951">
        <v>1</v>
      </c>
      <c r="AS90" s="6959" t="s">
        <v>526</v>
      </c>
      <c r="AT90" s="6947"/>
      <c r="AU90" s="6948">
        <v>37.22328</v>
      </c>
      <c r="AV90" s="6947"/>
      <c r="AW90" s="6948">
        <v>6.69336</v>
      </c>
      <c r="AX90" s="6935">
        <v>45658</v>
      </c>
      <c r="AY90" s="6949" t="s">
        <v>65</v>
      </c>
      <c r="AZ90" s="6935">
        <v>46022</v>
      </c>
      <c r="BA90" s="6949" t="s">
        <v>65</v>
      </c>
      <c r="BB90" s="6960"/>
      <c r="BC90" s="6961" t="s">
        <v>503</v>
      </c>
      <c r="BD90" s="6962"/>
      <c r="BE90" s="6963"/>
      <c r="BF90" s="6963" t="str">
        <f>IF(T90="","",T90)</f>
        <v/>
      </c>
      <c r="BG90" s="6963"/>
      <c r="BH90" s="6963"/>
      <c r="BI90" s="6964">
        <v>0</v>
      </c>
    </row>
    <row customHeight="1" ht="14.25">
      <c r="A91" s="6936"/>
      <c r="B91" s="6936"/>
      <c r="C91" s="6936"/>
      <c r="D91" s="6936"/>
      <c r="E91" s="6937"/>
      <c r="F91" s="6937"/>
      <c r="G91" s="6937"/>
      <c r="H91" s="6937"/>
      <c r="I91" s="6938"/>
      <c r="J91" s="6938"/>
      <c r="K91" s="6939"/>
      <c r="L91" s="6940"/>
      <c r="M91" s="6941"/>
      <c r="N91" s="6941"/>
      <c r="O91" s="6941"/>
      <c r="P91" s="6942"/>
      <c r="Q91" s="6942"/>
      <c r="R91" s="6943"/>
      <c r="S91" s="6965"/>
      <c r="T91" s="6966"/>
      <c r="U91" s="6946"/>
      <c r="V91" s="7482"/>
      <c r="W91" s="7483"/>
      <c r="X91" s="7484"/>
      <c r="Y91" s="7485"/>
      <c r="Z91" s="7486"/>
      <c r="AA91" s="7487"/>
      <c r="AB91" s="7488"/>
      <c r="AC91" s="7489"/>
      <c r="AD91" s="6066"/>
      <c r="AE91" s="6950"/>
      <c r="AF91" s="6951" t="s">
        <v>109</v>
      </c>
      <c r="AG91" s="6952"/>
      <c r="AH91" s="6949"/>
      <c r="AI91" s="6950"/>
      <c r="AJ91" s="6951"/>
      <c r="AK91" s="6954"/>
      <c r="AL91" s="6949"/>
      <c r="AM91" s="6975"/>
      <c r="AN91" s="6951"/>
      <c r="AO91" s="6956" t="s">
        <v>28</v>
      </c>
      <c r="AP91" s="6976"/>
      <c r="AQ91" s="7490"/>
      <c r="AR91" s="7491"/>
      <c r="AS91" s="7492" t="s">
        <v>504</v>
      </c>
      <c r="AT91" s="7493"/>
      <c r="AU91" s="7494"/>
      <c r="AV91" s="7495"/>
      <c r="AW91" s="7496"/>
      <c r="AX91" s="7497"/>
      <c r="AY91" s="7498"/>
      <c r="AZ91" s="7499"/>
      <c r="BA91" s="7500"/>
      <c r="BB91" s="7501"/>
      <c r="BC91" s="6989"/>
      <c r="BD91" s="6962"/>
      <c r="BE91" s="6963"/>
      <c r="BF91" s="6963"/>
      <c r="BG91" s="6963"/>
      <c r="BH91" s="6963"/>
      <c r="BI91" s="6964">
        <v>0</v>
      </c>
    </row>
    <row customHeight="1" ht="14.25">
      <c r="A92" s="6936"/>
      <c r="B92" s="6936"/>
      <c r="C92" s="6936"/>
      <c r="D92" s="6936"/>
      <c r="E92" s="6937"/>
      <c r="F92" s="6937"/>
      <c r="G92" s="6937"/>
      <c r="H92" s="6937"/>
      <c r="I92" s="6938"/>
      <c r="J92" s="6938"/>
      <c r="K92" s="6939"/>
      <c r="L92" s="6940"/>
      <c r="M92" s="6941"/>
      <c r="N92" s="6941"/>
      <c r="O92" s="6941"/>
      <c r="P92" s="6942"/>
      <c r="Q92" s="6942"/>
      <c r="R92" s="6943"/>
      <c r="S92" s="6965"/>
      <c r="T92" s="6966"/>
      <c r="U92" s="6946"/>
      <c r="V92" s="7502"/>
      <c r="W92" s="7503"/>
      <c r="X92" s="7504"/>
      <c r="Y92" s="7505"/>
      <c r="Z92" s="7506"/>
      <c r="AA92" s="7507"/>
      <c r="AB92" s="7508"/>
      <c r="AC92" s="7509"/>
      <c r="AD92" s="6066"/>
      <c r="AE92" s="6950"/>
      <c r="AF92" s="6951" t="s">
        <v>109</v>
      </c>
      <c r="AG92" s="6952"/>
      <c r="AH92" s="6949"/>
      <c r="AI92" s="6950"/>
      <c r="AJ92" s="6951"/>
      <c r="AK92" s="6954"/>
      <c r="AL92" s="6949"/>
      <c r="AM92" s="7510"/>
      <c r="AN92" s="7511"/>
      <c r="AO92" s="7512" t="s">
        <v>505</v>
      </c>
      <c r="AP92" s="7513"/>
      <c r="AQ92" s="7514"/>
      <c r="AR92" s="7515"/>
      <c r="AS92" s="7516"/>
      <c r="AT92" s="7517"/>
      <c r="AU92" s="7518"/>
      <c r="AV92" s="7519"/>
      <c r="AW92" s="7520"/>
      <c r="AX92" s="7521"/>
      <c r="AY92" s="7522"/>
      <c r="AZ92" s="7523"/>
      <c r="BA92" s="7524"/>
      <c r="BB92" s="7525"/>
      <c r="BC92" s="6989"/>
      <c r="BD92" s="6962"/>
      <c r="BE92" s="6963"/>
      <c r="BF92" s="6963"/>
      <c r="BG92" s="6963"/>
      <c r="BH92" s="6963"/>
      <c r="BI92" s="6964">
        <v>0</v>
      </c>
    </row>
    <row customHeight="1" ht="14.25">
      <c r="A93" s="6936"/>
      <c r="B93" s="6936"/>
      <c r="C93" s="6936"/>
      <c r="D93" s="6936"/>
      <c r="E93" s="6937"/>
      <c r="F93" s="6937"/>
      <c r="G93" s="6937"/>
      <c r="H93" s="6937"/>
      <c r="I93" s="6938"/>
      <c r="J93" s="6938"/>
      <c r="K93" s="6939" t="str">
        <f>S89&amp;".1"</f>
        <v>.1</v>
      </c>
      <c r="L93" s="6940"/>
      <c r="M93" s="6941"/>
      <c r="N93" s="6941"/>
      <c r="O93" s="6941"/>
      <c r="P93" s="6942"/>
      <c r="Q93" s="6942"/>
      <c r="R93" s="6943">
        <v>1</v>
      </c>
      <c r="S93" s="6944" t="str">
        <f>$K93</f>
        <v>.1</v>
      </c>
      <c r="T93" s="6945"/>
      <c r="U93" s="6946"/>
      <c r="V93" s="6947"/>
      <c r="W93" s="6948"/>
      <c r="X93" s="6947"/>
      <c r="Y93" s="6948"/>
      <c r="Z93" s="6935"/>
      <c r="AA93" s="6949" t="s">
        <v>65</v>
      </c>
      <c r="AB93" s="6935"/>
      <c r="AC93" s="6949" t="s">
        <v>65</v>
      </c>
      <c r="AD93" s="6060" t="s">
        <v>65</v>
      </c>
      <c r="AE93" s="6950"/>
      <c r="AF93" s="6951">
        <v>1</v>
      </c>
      <c r="AG93" s="6952"/>
      <c r="AH93" s="6949" t="s">
        <v>65</v>
      </c>
      <c r="AI93" s="6953" t="s">
        <v>489</v>
      </c>
      <c r="AJ93" s="6951" t="s">
        <v>109</v>
      </c>
      <c r="AK93" s="6954" t="s">
        <v>520</v>
      </c>
      <c r="AL93" s="6949" t="s">
        <v>19</v>
      </c>
      <c r="AM93" s="6955"/>
      <c r="AN93" s="6951">
        <v>1</v>
      </c>
      <c r="AO93" s="6956" t="s">
        <v>28</v>
      </c>
      <c r="AP93" s="6957" t="s">
        <v>65</v>
      </c>
      <c r="AQ93" s="6958"/>
      <c r="AR93" s="6951">
        <v>1</v>
      </c>
      <c r="AS93" s="6959" t="s">
        <v>526</v>
      </c>
      <c r="AT93" s="6947"/>
      <c r="AU93" s="6948">
        <v>37.22328</v>
      </c>
      <c r="AV93" s="6947"/>
      <c r="AW93" s="6948">
        <v>4.40983</v>
      </c>
      <c r="AX93" s="6935">
        <v>45658</v>
      </c>
      <c r="AY93" s="6949" t="s">
        <v>65</v>
      </c>
      <c r="AZ93" s="6935">
        <v>46022</v>
      </c>
      <c r="BA93" s="6949" t="s">
        <v>65</v>
      </c>
      <c r="BB93" s="6960"/>
      <c r="BC93" s="6961" t="s">
        <v>503</v>
      </c>
      <c r="BD93" s="6962"/>
      <c r="BE93" s="6963"/>
      <c r="BF93" s="6963" t="str">
        <f>IF(T93="","",T93)</f>
        <v/>
      </c>
      <c r="BG93" s="6963"/>
      <c r="BH93" s="6963"/>
      <c r="BI93" s="6964">
        <v>0</v>
      </c>
    </row>
    <row customHeight="1" ht="14.25">
      <c r="A94" s="6936"/>
      <c r="B94" s="6936"/>
      <c r="C94" s="6936"/>
      <c r="D94" s="6936"/>
      <c r="E94" s="6937"/>
      <c r="F94" s="6937"/>
      <c r="G94" s="6937"/>
      <c r="H94" s="6937"/>
      <c r="I94" s="6938"/>
      <c r="J94" s="6938"/>
      <c r="K94" s="6939"/>
      <c r="L94" s="6940"/>
      <c r="M94" s="6941"/>
      <c r="N94" s="6941"/>
      <c r="O94" s="6941"/>
      <c r="P94" s="6942"/>
      <c r="Q94" s="6942"/>
      <c r="R94" s="6943"/>
      <c r="S94" s="6965"/>
      <c r="T94" s="6966"/>
      <c r="U94" s="6946"/>
      <c r="V94" s="7526"/>
      <c r="W94" s="7527"/>
      <c r="X94" s="7528"/>
      <c r="Y94" s="7529"/>
      <c r="Z94" s="7530"/>
      <c r="AA94" s="7531"/>
      <c r="AB94" s="7532"/>
      <c r="AC94" s="7533"/>
      <c r="AD94" s="6066"/>
      <c r="AE94" s="6950"/>
      <c r="AF94" s="6951"/>
      <c r="AG94" s="6952"/>
      <c r="AH94" s="6949"/>
      <c r="AI94" s="6950"/>
      <c r="AJ94" s="6951">
        <v>1</v>
      </c>
      <c r="AK94" s="6954"/>
      <c r="AL94" s="6949"/>
      <c r="AM94" s="6975"/>
      <c r="AN94" s="6951"/>
      <c r="AO94" s="6956" t="s">
        <v>28</v>
      </c>
      <c r="AP94" s="6976"/>
      <c r="AQ94" s="7534"/>
      <c r="AR94" s="7535"/>
      <c r="AS94" s="7536" t="s">
        <v>504</v>
      </c>
      <c r="AT94" s="7537"/>
      <c r="AU94" s="7538"/>
      <c r="AV94" s="7539"/>
      <c r="AW94" s="7540"/>
      <c r="AX94" s="7541"/>
      <c r="AY94" s="7542"/>
      <c r="AZ94" s="7543"/>
      <c r="BA94" s="7544"/>
      <c r="BB94" s="7545"/>
      <c r="BC94" s="6989"/>
      <c r="BD94" s="6962"/>
      <c r="BE94" s="6963"/>
      <c r="BF94" s="6963"/>
      <c r="BG94" s="6963"/>
      <c r="BH94" s="6963"/>
      <c r="BI94" s="6964">
        <v>0</v>
      </c>
    </row>
    <row customHeight="1" ht="14.25">
      <c r="A95" s="6936"/>
      <c r="B95" s="6936"/>
      <c r="C95" s="6936"/>
      <c r="D95" s="6936"/>
      <c r="E95" s="6937"/>
      <c r="F95" s="6937"/>
      <c r="G95" s="6937"/>
      <c r="H95" s="6937"/>
      <c r="I95" s="6938"/>
      <c r="J95" s="6938"/>
      <c r="K95" s="6939"/>
      <c r="L95" s="6940"/>
      <c r="M95" s="6941"/>
      <c r="N95" s="6941"/>
      <c r="O95" s="6941"/>
      <c r="P95" s="6942"/>
      <c r="Q95" s="6942"/>
      <c r="R95" s="6943"/>
      <c r="S95" s="6965"/>
      <c r="T95" s="6966"/>
      <c r="U95" s="6946"/>
      <c r="V95" s="7546"/>
      <c r="W95" s="7547"/>
      <c r="X95" s="7548"/>
      <c r="Y95" s="7549"/>
      <c r="Z95" s="7550"/>
      <c r="AA95" s="7551"/>
      <c r="AB95" s="7552"/>
      <c r="AC95" s="7553"/>
      <c r="AD95" s="6066"/>
      <c r="AE95" s="6950"/>
      <c r="AF95" s="6951"/>
      <c r="AG95" s="6952"/>
      <c r="AH95" s="6949"/>
      <c r="AI95" s="6950"/>
      <c r="AJ95" s="6951">
        <v>1</v>
      </c>
      <c r="AK95" s="6954"/>
      <c r="AL95" s="6949"/>
      <c r="AM95" s="7554"/>
      <c r="AN95" s="7555"/>
      <c r="AO95" s="7556" t="s">
        <v>505</v>
      </c>
      <c r="AP95" s="7557"/>
      <c r="AQ95" s="7558"/>
      <c r="AR95" s="7559"/>
      <c r="AS95" s="7560"/>
      <c r="AT95" s="7561"/>
      <c r="AU95" s="7562"/>
      <c r="AV95" s="7563"/>
      <c r="AW95" s="7564"/>
      <c r="AX95" s="7565"/>
      <c r="AY95" s="7566"/>
      <c r="AZ95" s="7567"/>
      <c r="BA95" s="7568"/>
      <c r="BB95" s="7569"/>
      <c r="BC95" s="6989"/>
      <c r="BD95" s="6962"/>
      <c r="BE95" s="6963"/>
      <c r="BF95" s="6963"/>
      <c r="BG95" s="6963"/>
      <c r="BH95" s="6963"/>
      <c r="BI95" s="6964">
        <v>0</v>
      </c>
    </row>
    <row customHeight="1" ht="14.25">
      <c r="A96" s="6936"/>
      <c r="B96" s="6936"/>
      <c r="C96" s="6936"/>
      <c r="D96" s="6936"/>
      <c r="E96" s="6937"/>
      <c r="F96" s="6937"/>
      <c r="G96" s="6937"/>
      <c r="H96" s="6937"/>
      <c r="I96" s="6938"/>
      <c r="J96" s="6938"/>
      <c r="K96" s="6939" t="str">
        <f>S92&amp;".1"</f>
        <v>.1</v>
      </c>
      <c r="L96" s="6940"/>
      <c r="M96" s="6941"/>
      <c r="N96" s="6941"/>
      <c r="O96" s="6941"/>
      <c r="P96" s="6942"/>
      <c r="Q96" s="6942"/>
      <c r="R96" s="6943">
        <v>1</v>
      </c>
      <c r="S96" s="6944" t="str">
        <f>$K96</f>
        <v>.1</v>
      </c>
      <c r="T96" s="6945"/>
      <c r="U96" s="6946"/>
      <c r="V96" s="6947"/>
      <c r="W96" s="6948"/>
      <c r="X96" s="6947"/>
      <c r="Y96" s="6948"/>
      <c r="Z96" s="6935"/>
      <c r="AA96" s="6949" t="s">
        <v>65</v>
      </c>
      <c r="AB96" s="6935"/>
      <c r="AC96" s="6949" t="s">
        <v>65</v>
      </c>
      <c r="AD96" s="6060" t="s">
        <v>65</v>
      </c>
      <c r="AE96" s="6950"/>
      <c r="AF96" s="6951">
        <v>1</v>
      </c>
      <c r="AG96" s="6952"/>
      <c r="AH96" s="6949" t="s">
        <v>65</v>
      </c>
      <c r="AI96" s="6953" t="s">
        <v>489</v>
      </c>
      <c r="AJ96" s="6951" t="s">
        <v>89</v>
      </c>
      <c r="AK96" s="6954" t="s">
        <v>521</v>
      </c>
      <c r="AL96" s="6949" t="s">
        <v>19</v>
      </c>
      <c r="AM96" s="6955"/>
      <c r="AN96" s="6951">
        <v>1</v>
      </c>
      <c r="AO96" s="6956" t="s">
        <v>28</v>
      </c>
      <c r="AP96" s="6957" t="s">
        <v>65</v>
      </c>
      <c r="AQ96" s="6958"/>
      <c r="AR96" s="6951">
        <v>1</v>
      </c>
      <c r="AS96" s="6959" t="s">
        <v>526</v>
      </c>
      <c r="AT96" s="6947"/>
      <c r="AU96" s="6948">
        <v>37.22328</v>
      </c>
      <c r="AV96" s="6947"/>
      <c r="AW96" s="6948">
        <v>14.73205</v>
      </c>
      <c r="AX96" s="6935">
        <v>45658</v>
      </c>
      <c r="AY96" s="6949" t="s">
        <v>65</v>
      </c>
      <c r="AZ96" s="6935">
        <v>46022</v>
      </c>
      <c r="BA96" s="6949" t="s">
        <v>65</v>
      </c>
      <c r="BB96" s="6960"/>
      <c r="BC96" s="6961" t="s">
        <v>503</v>
      </c>
      <c r="BD96" s="6962"/>
      <c r="BE96" s="6963"/>
      <c r="BF96" s="6963" t="str">
        <f>IF(T96="","",T96)</f>
        <v/>
      </c>
      <c r="BG96" s="6963"/>
      <c r="BH96" s="6963"/>
      <c r="BI96" s="6964">
        <v>0</v>
      </c>
    </row>
    <row customHeight="1" ht="14.25">
      <c r="A97" s="6936"/>
      <c r="B97" s="6936"/>
      <c r="C97" s="6936"/>
      <c r="D97" s="6936"/>
      <c r="E97" s="6937"/>
      <c r="F97" s="6937"/>
      <c r="G97" s="6937"/>
      <c r="H97" s="6937"/>
      <c r="I97" s="6938"/>
      <c r="J97" s="6938"/>
      <c r="K97" s="6939"/>
      <c r="L97" s="6940"/>
      <c r="M97" s="6941"/>
      <c r="N97" s="6941"/>
      <c r="O97" s="6941"/>
      <c r="P97" s="6942"/>
      <c r="Q97" s="6942"/>
      <c r="R97" s="6943"/>
      <c r="S97" s="6965"/>
      <c r="T97" s="6966"/>
      <c r="U97" s="6946"/>
      <c r="V97" s="7570"/>
      <c r="W97" s="7571"/>
      <c r="X97" s="7572"/>
      <c r="Y97" s="7573"/>
      <c r="Z97" s="7574"/>
      <c r="AA97" s="7575"/>
      <c r="AB97" s="7576"/>
      <c r="AC97" s="7577"/>
      <c r="AD97" s="6066"/>
      <c r="AE97" s="6950"/>
      <c r="AF97" s="6951"/>
      <c r="AG97" s="6952"/>
      <c r="AH97" s="6949"/>
      <c r="AI97" s="6950"/>
      <c r="AJ97" s="6951" t="s">
        <v>109</v>
      </c>
      <c r="AK97" s="6954"/>
      <c r="AL97" s="6949"/>
      <c r="AM97" s="6975"/>
      <c r="AN97" s="6951"/>
      <c r="AO97" s="6956" t="s">
        <v>28</v>
      </c>
      <c r="AP97" s="6976"/>
      <c r="AQ97" s="7578"/>
      <c r="AR97" s="7579"/>
      <c r="AS97" s="7580" t="s">
        <v>504</v>
      </c>
      <c r="AT97" s="7581"/>
      <c r="AU97" s="7582"/>
      <c r="AV97" s="7583"/>
      <c r="AW97" s="7584"/>
      <c r="AX97" s="7585"/>
      <c r="AY97" s="7586"/>
      <c r="AZ97" s="7587"/>
      <c r="BA97" s="7588"/>
      <c r="BB97" s="7589"/>
      <c r="BC97" s="6989"/>
      <c r="BD97" s="6962"/>
      <c r="BE97" s="6963"/>
      <c r="BF97" s="6963"/>
      <c r="BG97" s="6963"/>
      <c r="BH97" s="6963"/>
      <c r="BI97" s="6964">
        <v>0</v>
      </c>
    </row>
    <row customHeight="1" ht="14.25">
      <c r="A98" s="6936"/>
      <c r="B98" s="6936"/>
      <c r="C98" s="6936"/>
      <c r="D98" s="6936"/>
      <c r="E98" s="6937"/>
      <c r="F98" s="6937"/>
      <c r="G98" s="6937"/>
      <c r="H98" s="6937"/>
      <c r="I98" s="6938"/>
      <c r="J98" s="6938"/>
      <c r="K98" s="6939"/>
      <c r="L98" s="6940"/>
      <c r="M98" s="6941"/>
      <c r="N98" s="6941"/>
      <c r="O98" s="6941"/>
      <c r="P98" s="6942"/>
      <c r="Q98" s="6942"/>
      <c r="R98" s="6943"/>
      <c r="S98" s="6965"/>
      <c r="T98" s="6966"/>
      <c r="U98" s="6946"/>
      <c r="V98" s="7590"/>
      <c r="W98" s="7591"/>
      <c r="X98" s="7592"/>
      <c r="Y98" s="7593"/>
      <c r="Z98" s="7594"/>
      <c r="AA98" s="7595"/>
      <c r="AB98" s="7596"/>
      <c r="AC98" s="7597"/>
      <c r="AD98" s="6066"/>
      <c r="AE98" s="6950"/>
      <c r="AF98" s="6951"/>
      <c r="AG98" s="6952"/>
      <c r="AH98" s="6949"/>
      <c r="AI98" s="6950"/>
      <c r="AJ98" s="6951" t="s">
        <v>109</v>
      </c>
      <c r="AK98" s="6954"/>
      <c r="AL98" s="6949"/>
      <c r="AM98" s="7598"/>
      <c r="AN98" s="7599"/>
      <c r="AO98" s="7600" t="s">
        <v>505</v>
      </c>
      <c r="AP98" s="7601"/>
      <c r="AQ98" s="7602"/>
      <c r="AR98" s="7603"/>
      <c r="AS98" s="7604"/>
      <c r="AT98" s="7605"/>
      <c r="AU98" s="7606"/>
      <c r="AV98" s="7607"/>
      <c r="AW98" s="7608"/>
      <c r="AX98" s="7609"/>
      <c r="AY98" s="7610"/>
      <c r="AZ98" s="7611"/>
      <c r="BA98" s="7612"/>
      <c r="BB98" s="7613"/>
      <c r="BC98" s="6989"/>
      <c r="BD98" s="6962"/>
      <c r="BE98" s="6963"/>
      <c r="BF98" s="6963"/>
      <c r="BG98" s="6963"/>
      <c r="BH98" s="6963"/>
      <c r="BI98" s="6964">
        <v>0</v>
      </c>
    </row>
    <row customHeight="1" ht="14.25">
      <c r="A99" s="6936"/>
      <c r="B99" s="6936"/>
      <c r="C99" s="6936"/>
      <c r="D99" s="6936"/>
      <c r="E99" s="6937"/>
      <c r="F99" s="6937"/>
      <c r="G99" s="6937"/>
      <c r="H99" s="6937"/>
      <c r="I99" s="6938"/>
      <c r="J99" s="6938"/>
      <c r="K99" s="6939" t="str">
        <f>S95&amp;".1"</f>
        <v>.1</v>
      </c>
      <c r="L99" s="6940"/>
      <c r="M99" s="6941"/>
      <c r="N99" s="6941"/>
      <c r="O99" s="6941"/>
      <c r="P99" s="6942"/>
      <c r="Q99" s="6942"/>
      <c r="R99" s="6943">
        <v>1</v>
      </c>
      <c r="S99" s="6944" t="str">
        <f>$K99</f>
        <v>.1</v>
      </c>
      <c r="T99" s="6945"/>
      <c r="U99" s="6946"/>
      <c r="V99" s="6947"/>
      <c r="W99" s="6948"/>
      <c r="X99" s="6947"/>
      <c r="Y99" s="6948"/>
      <c r="Z99" s="6935"/>
      <c r="AA99" s="6949" t="s">
        <v>65</v>
      </c>
      <c r="AB99" s="6935"/>
      <c r="AC99" s="6949" t="s">
        <v>65</v>
      </c>
      <c r="AD99" s="6060" t="s">
        <v>65</v>
      </c>
      <c r="AE99" s="6950"/>
      <c r="AF99" s="6951">
        <v>1</v>
      </c>
      <c r="AG99" s="6952"/>
      <c r="AH99" s="6949" t="s">
        <v>65</v>
      </c>
      <c r="AI99" s="6953" t="s">
        <v>489</v>
      </c>
      <c r="AJ99" s="6951" t="s">
        <v>90</v>
      </c>
      <c r="AK99" s="6954" t="s">
        <v>522</v>
      </c>
      <c r="AL99" s="6949" t="s">
        <v>19</v>
      </c>
      <c r="AM99" s="6955"/>
      <c r="AN99" s="6951">
        <v>1</v>
      </c>
      <c r="AO99" s="6956" t="s">
        <v>28</v>
      </c>
      <c r="AP99" s="6957" t="s">
        <v>65</v>
      </c>
      <c r="AQ99" s="6958"/>
      <c r="AR99" s="6951">
        <v>1</v>
      </c>
      <c r="AS99" s="6959" t="s">
        <v>526</v>
      </c>
      <c r="AT99" s="6947"/>
      <c r="AU99" s="6948">
        <v>37.22328</v>
      </c>
      <c r="AV99" s="6947"/>
      <c r="AW99" s="6948">
        <v>13.19646</v>
      </c>
      <c r="AX99" s="6935">
        <v>45658</v>
      </c>
      <c r="AY99" s="6949" t="s">
        <v>65</v>
      </c>
      <c r="AZ99" s="6935">
        <v>46022</v>
      </c>
      <c r="BA99" s="6949" t="s">
        <v>65</v>
      </c>
      <c r="BB99" s="6960"/>
      <c r="BC99" s="6961" t="s">
        <v>503</v>
      </c>
      <c r="BD99" s="6962"/>
      <c r="BE99" s="6963"/>
      <c r="BF99" s="6963" t="str">
        <f>IF(T99="","",T99)</f>
        <v/>
      </c>
      <c r="BG99" s="6963"/>
      <c r="BH99" s="6963"/>
      <c r="BI99" s="6964">
        <v>0</v>
      </c>
    </row>
    <row customHeight="1" ht="14.25">
      <c r="A100" s="6936"/>
      <c r="B100" s="6936"/>
      <c r="C100" s="6936"/>
      <c r="D100" s="6936"/>
      <c r="E100" s="6937"/>
      <c r="F100" s="6937"/>
      <c r="G100" s="6937"/>
      <c r="H100" s="6937"/>
      <c r="I100" s="6938"/>
      <c r="J100" s="6938"/>
      <c r="K100" s="6939"/>
      <c r="L100" s="6940"/>
      <c r="M100" s="6941"/>
      <c r="N100" s="6941"/>
      <c r="O100" s="6941"/>
      <c r="P100" s="6942"/>
      <c r="Q100" s="6942"/>
      <c r="R100" s="6943"/>
      <c r="S100" s="6965"/>
      <c r="T100" s="6966"/>
      <c r="U100" s="6946"/>
      <c r="V100" s="7614"/>
      <c r="W100" s="7615"/>
      <c r="X100" s="7616"/>
      <c r="Y100" s="7617"/>
      <c r="Z100" s="7618"/>
      <c r="AA100" s="7619"/>
      <c r="AB100" s="7620"/>
      <c r="AC100" s="7621"/>
      <c r="AD100" s="6066"/>
      <c r="AE100" s="6950"/>
      <c r="AF100" s="6951"/>
      <c r="AG100" s="6952"/>
      <c r="AH100" s="6949"/>
      <c r="AI100" s="6950"/>
      <c r="AJ100" s="6951" t="s">
        <v>89</v>
      </c>
      <c r="AK100" s="6954"/>
      <c r="AL100" s="6949"/>
      <c r="AM100" s="6975"/>
      <c r="AN100" s="6951"/>
      <c r="AO100" s="6956" t="s">
        <v>28</v>
      </c>
      <c r="AP100" s="6976"/>
      <c r="AQ100" s="7622"/>
      <c r="AR100" s="7623"/>
      <c r="AS100" s="7624" t="s">
        <v>504</v>
      </c>
      <c r="AT100" s="7625"/>
      <c r="AU100" s="7626"/>
      <c r="AV100" s="7627"/>
      <c r="AW100" s="7628"/>
      <c r="AX100" s="7629"/>
      <c r="AY100" s="7630"/>
      <c r="AZ100" s="7631"/>
      <c r="BA100" s="7632"/>
      <c r="BB100" s="7633"/>
      <c r="BC100" s="6989"/>
      <c r="BD100" s="6962"/>
      <c r="BE100" s="6963"/>
      <c r="BF100" s="6963"/>
      <c r="BG100" s="6963"/>
      <c r="BH100" s="6963"/>
      <c r="BI100" s="6964">
        <v>0</v>
      </c>
    </row>
    <row customHeight="1" ht="14.25">
      <c r="A101" s="6936"/>
      <c r="B101" s="6936"/>
      <c r="C101" s="6936"/>
      <c r="D101" s="6936"/>
      <c r="E101" s="6937"/>
      <c r="F101" s="6937"/>
      <c r="G101" s="6937"/>
      <c r="H101" s="6937"/>
      <c r="I101" s="6938"/>
      <c r="J101" s="6938"/>
      <c r="K101" s="6939"/>
      <c r="L101" s="6940"/>
      <c r="M101" s="6941"/>
      <c r="N101" s="6941"/>
      <c r="O101" s="6941"/>
      <c r="P101" s="6942"/>
      <c r="Q101" s="6942"/>
      <c r="R101" s="6943"/>
      <c r="S101" s="6965"/>
      <c r="T101" s="6966"/>
      <c r="U101" s="6946"/>
      <c r="V101" s="7634"/>
      <c r="W101" s="7635"/>
      <c r="X101" s="7636"/>
      <c r="Y101" s="7637"/>
      <c r="Z101" s="7638"/>
      <c r="AA101" s="7639"/>
      <c r="AB101" s="7640"/>
      <c r="AC101" s="7641"/>
      <c r="AD101" s="6066"/>
      <c r="AE101" s="6950"/>
      <c r="AF101" s="6951"/>
      <c r="AG101" s="6952"/>
      <c r="AH101" s="6949"/>
      <c r="AI101" s="6950"/>
      <c r="AJ101" s="6951" t="s">
        <v>89</v>
      </c>
      <c r="AK101" s="6954"/>
      <c r="AL101" s="6949"/>
      <c r="AM101" s="7642"/>
      <c r="AN101" s="7643"/>
      <c r="AO101" s="7644" t="s">
        <v>505</v>
      </c>
      <c r="AP101" s="7645"/>
      <c r="AQ101" s="7646"/>
      <c r="AR101" s="7647"/>
      <c r="AS101" s="7648"/>
      <c r="AT101" s="7649"/>
      <c r="AU101" s="7650"/>
      <c r="AV101" s="7651"/>
      <c r="AW101" s="7652"/>
      <c r="AX101" s="7653"/>
      <c r="AY101" s="7654"/>
      <c r="AZ101" s="7655"/>
      <c r="BA101" s="7656"/>
      <c r="BB101" s="7657"/>
      <c r="BC101" s="6989"/>
      <c r="BD101" s="6962"/>
      <c r="BE101" s="6963"/>
      <c r="BF101" s="6963"/>
      <c r="BG101" s="6963"/>
      <c r="BH101" s="6963"/>
      <c r="BI101" s="6964">
        <v>0</v>
      </c>
    </row>
    <row customHeight="1" ht="14.25">
      <c r="A102" s="6936"/>
      <c r="B102" s="6936"/>
      <c r="C102" s="6936"/>
      <c r="D102" s="6936"/>
      <c r="E102" s="6937"/>
      <c r="F102" s="6937"/>
      <c r="G102" s="6937"/>
      <c r="H102" s="6937"/>
      <c r="I102" s="6938"/>
      <c r="J102" s="6938"/>
      <c r="K102" s="6939" t="str">
        <f>S98&amp;".1"</f>
        <v>.1</v>
      </c>
      <c r="L102" s="6940"/>
      <c r="M102" s="6941"/>
      <c r="N102" s="6941"/>
      <c r="O102" s="6941"/>
      <c r="P102" s="6942"/>
      <c r="Q102" s="6942"/>
      <c r="R102" s="6943">
        <v>1</v>
      </c>
      <c r="S102" s="6944" t="str">
        <f>$K102</f>
        <v>.1</v>
      </c>
      <c r="T102" s="6945"/>
      <c r="U102" s="6946"/>
      <c r="V102" s="6947"/>
      <c r="W102" s="6948"/>
      <c r="X102" s="6947"/>
      <c r="Y102" s="6948"/>
      <c r="Z102" s="6935"/>
      <c r="AA102" s="6949" t="s">
        <v>65</v>
      </c>
      <c r="AB102" s="6935"/>
      <c r="AC102" s="6949" t="s">
        <v>65</v>
      </c>
      <c r="AD102" s="6060" t="s">
        <v>65</v>
      </c>
      <c r="AE102" s="6950"/>
      <c r="AF102" s="6951">
        <v>1</v>
      </c>
      <c r="AG102" s="6952"/>
      <c r="AH102" s="6949" t="s">
        <v>65</v>
      </c>
      <c r="AI102" s="6953" t="s">
        <v>489</v>
      </c>
      <c r="AJ102" s="6951" t="s">
        <v>110</v>
      </c>
      <c r="AK102" s="6954" t="s">
        <v>523</v>
      </c>
      <c r="AL102" s="6949" t="s">
        <v>19</v>
      </c>
      <c r="AM102" s="6955"/>
      <c r="AN102" s="6951">
        <v>1</v>
      </c>
      <c r="AO102" s="6956" t="s">
        <v>28</v>
      </c>
      <c r="AP102" s="6957" t="s">
        <v>65</v>
      </c>
      <c r="AQ102" s="6958"/>
      <c r="AR102" s="6951">
        <v>1</v>
      </c>
      <c r="AS102" s="6959" t="s">
        <v>526</v>
      </c>
      <c r="AT102" s="6947"/>
      <c r="AU102" s="6948">
        <v>37.22328</v>
      </c>
      <c r="AV102" s="6947"/>
      <c r="AW102" s="6948">
        <v>16.42036</v>
      </c>
      <c r="AX102" s="6935">
        <v>45658</v>
      </c>
      <c r="AY102" s="6949" t="s">
        <v>65</v>
      </c>
      <c r="AZ102" s="6935">
        <v>46022</v>
      </c>
      <c r="BA102" s="6949" t="s">
        <v>65</v>
      </c>
      <c r="BB102" s="6960"/>
      <c r="BC102" s="6961" t="s">
        <v>503</v>
      </c>
      <c r="BD102" s="6962"/>
      <c r="BE102" s="6963"/>
      <c r="BF102" s="6963" t="str">
        <f>IF(T102="","",T102)</f>
        <v/>
      </c>
      <c r="BG102" s="6963"/>
      <c r="BH102" s="6963"/>
      <c r="BI102" s="6964">
        <v>0</v>
      </c>
    </row>
    <row customHeight="1" ht="14.25">
      <c r="A103" s="6936"/>
      <c r="B103" s="6936"/>
      <c r="C103" s="6936"/>
      <c r="D103" s="6936"/>
      <c r="E103" s="6937"/>
      <c r="F103" s="6937"/>
      <c r="G103" s="6937"/>
      <c r="H103" s="6937"/>
      <c r="I103" s="6938"/>
      <c r="J103" s="6938"/>
      <c r="K103" s="6939"/>
      <c r="L103" s="6940"/>
      <c r="M103" s="6941"/>
      <c r="N103" s="6941"/>
      <c r="O103" s="6941"/>
      <c r="P103" s="6942"/>
      <c r="Q103" s="6942"/>
      <c r="R103" s="6943"/>
      <c r="S103" s="6965"/>
      <c r="T103" s="6966"/>
      <c r="U103" s="6946"/>
      <c r="V103" s="7658"/>
      <c r="W103" s="7659"/>
      <c r="X103" s="7660"/>
      <c r="Y103" s="7661"/>
      <c r="Z103" s="7662"/>
      <c r="AA103" s="7663"/>
      <c r="AB103" s="7664"/>
      <c r="AC103" s="7665"/>
      <c r="AD103" s="6066"/>
      <c r="AE103" s="6950"/>
      <c r="AF103" s="6951"/>
      <c r="AG103" s="6952"/>
      <c r="AH103" s="6949"/>
      <c r="AI103" s="6950"/>
      <c r="AJ103" s="6951" t="s">
        <v>90</v>
      </c>
      <c r="AK103" s="6954"/>
      <c r="AL103" s="6949"/>
      <c r="AM103" s="6975"/>
      <c r="AN103" s="6951"/>
      <c r="AO103" s="6956" t="s">
        <v>28</v>
      </c>
      <c r="AP103" s="6976"/>
      <c r="AQ103" s="7666"/>
      <c r="AR103" s="7667"/>
      <c r="AS103" s="7668" t="s">
        <v>504</v>
      </c>
      <c r="AT103" s="7669"/>
      <c r="AU103" s="7670"/>
      <c r="AV103" s="7671"/>
      <c r="AW103" s="7672"/>
      <c r="AX103" s="7673"/>
      <c r="AY103" s="7674"/>
      <c r="AZ103" s="7675"/>
      <c r="BA103" s="7676"/>
      <c r="BB103" s="7677"/>
      <c r="BC103" s="6989"/>
      <c r="BD103" s="6962"/>
      <c r="BE103" s="6963"/>
      <c r="BF103" s="6963"/>
      <c r="BG103" s="6963"/>
      <c r="BH103" s="6963"/>
      <c r="BI103" s="6964">
        <v>0</v>
      </c>
    </row>
    <row customHeight="1" ht="14.25">
      <c r="A104" s="6936"/>
      <c r="B104" s="6936"/>
      <c r="C104" s="6936"/>
      <c r="D104" s="6936"/>
      <c r="E104" s="6937"/>
      <c r="F104" s="6937"/>
      <c r="G104" s="6937"/>
      <c r="H104" s="6937"/>
      <c r="I104" s="6938"/>
      <c r="J104" s="6938"/>
      <c r="K104" s="6939"/>
      <c r="L104" s="6940"/>
      <c r="M104" s="6941"/>
      <c r="N104" s="6941"/>
      <c r="O104" s="6941"/>
      <c r="P104" s="6942"/>
      <c r="Q104" s="6942"/>
      <c r="R104" s="6943"/>
      <c r="S104" s="6965"/>
      <c r="T104" s="6966"/>
      <c r="U104" s="6946"/>
      <c r="V104" s="7678"/>
      <c r="W104" s="7679"/>
      <c r="X104" s="7680"/>
      <c r="Y104" s="7681"/>
      <c r="Z104" s="7682"/>
      <c r="AA104" s="7683"/>
      <c r="AB104" s="7684"/>
      <c r="AC104" s="7685"/>
      <c r="AD104" s="6066"/>
      <c r="AE104" s="6950"/>
      <c r="AF104" s="6951"/>
      <c r="AG104" s="6952"/>
      <c r="AH104" s="6949"/>
      <c r="AI104" s="6950"/>
      <c r="AJ104" s="6951" t="s">
        <v>90</v>
      </c>
      <c r="AK104" s="6954"/>
      <c r="AL104" s="6949"/>
      <c r="AM104" s="7686"/>
      <c r="AN104" s="7687"/>
      <c r="AO104" s="7688" t="s">
        <v>505</v>
      </c>
      <c r="AP104" s="7689"/>
      <c r="AQ104" s="7690"/>
      <c r="AR104" s="7691"/>
      <c r="AS104" s="7692"/>
      <c r="AT104" s="7693"/>
      <c r="AU104" s="7694"/>
      <c r="AV104" s="7695"/>
      <c r="AW104" s="7696"/>
      <c r="AX104" s="7697"/>
      <c r="AY104" s="7698"/>
      <c r="AZ104" s="7699"/>
      <c r="BA104" s="7700"/>
      <c r="BB104" s="7701"/>
      <c r="BC104" s="6989"/>
      <c r="BD104" s="6962"/>
      <c r="BE104" s="6963"/>
      <c r="BF104" s="6963"/>
      <c r="BG104" s="6963"/>
      <c r="BH104" s="6963"/>
      <c r="BI104" s="6964">
        <v>0</v>
      </c>
    </row>
    <row customHeight="1" ht="14.25">
      <c r="A105" s="6936"/>
      <c r="B105" s="6936"/>
      <c r="C105" s="6936"/>
      <c r="D105" s="6936"/>
      <c r="E105" s="6937"/>
      <c r="F105" s="6937"/>
      <c r="G105" s="6937"/>
      <c r="H105" s="6937"/>
      <c r="I105" s="6938"/>
      <c r="J105" s="6938"/>
      <c r="K105" s="6939" t="str">
        <f>S101&amp;".1"</f>
        <v>.1</v>
      </c>
      <c r="L105" s="6940"/>
      <c r="M105" s="6941"/>
      <c r="N105" s="6941"/>
      <c r="O105" s="6941"/>
      <c r="P105" s="6942"/>
      <c r="Q105" s="6942"/>
      <c r="R105" s="6943">
        <v>1</v>
      </c>
      <c r="S105" s="6944" t="str">
        <f>$K105</f>
        <v>.1</v>
      </c>
      <c r="T105" s="6945"/>
      <c r="U105" s="6946"/>
      <c r="V105" s="6947"/>
      <c r="W105" s="6948"/>
      <c r="X105" s="6947"/>
      <c r="Y105" s="6948"/>
      <c r="Z105" s="6935"/>
      <c r="AA105" s="6949" t="s">
        <v>65</v>
      </c>
      <c r="AB105" s="6935"/>
      <c r="AC105" s="6949" t="s">
        <v>65</v>
      </c>
      <c r="AD105" s="6060" t="s">
        <v>65</v>
      </c>
      <c r="AE105" s="6950"/>
      <c r="AF105" s="6951">
        <v>1</v>
      </c>
      <c r="AG105" s="6952"/>
      <c r="AH105" s="6949" t="s">
        <v>65</v>
      </c>
      <c r="AI105" s="6953" t="s">
        <v>489</v>
      </c>
      <c r="AJ105" s="6951" t="s">
        <v>91</v>
      </c>
      <c r="AK105" s="6954" t="s">
        <v>524</v>
      </c>
      <c r="AL105" s="6949" t="s">
        <v>19</v>
      </c>
      <c r="AM105" s="6955"/>
      <c r="AN105" s="6951">
        <v>1</v>
      </c>
      <c r="AO105" s="6956" t="s">
        <v>28</v>
      </c>
      <c r="AP105" s="6957" t="s">
        <v>65</v>
      </c>
      <c r="AQ105" s="6958"/>
      <c r="AR105" s="6951">
        <v>1</v>
      </c>
      <c r="AS105" s="6959" t="s">
        <v>526</v>
      </c>
      <c r="AT105" s="6947"/>
      <c r="AU105" s="6948">
        <v>37.22328</v>
      </c>
      <c r="AV105" s="6947"/>
      <c r="AW105" s="6948">
        <v>18.29214</v>
      </c>
      <c r="AX105" s="6935">
        <v>45658</v>
      </c>
      <c r="AY105" s="6949" t="s">
        <v>65</v>
      </c>
      <c r="AZ105" s="6935">
        <v>46022</v>
      </c>
      <c r="BA105" s="6949" t="s">
        <v>65</v>
      </c>
      <c r="BB105" s="6960"/>
      <c r="BC105" s="6961" t="s">
        <v>503</v>
      </c>
      <c r="BD105" s="6962"/>
      <c r="BE105" s="6963"/>
      <c r="BF105" s="6963" t="str">
        <f>IF(T105="","",T105)</f>
        <v/>
      </c>
      <c r="BG105" s="6963"/>
      <c r="BH105" s="6963"/>
      <c r="BI105" s="6964">
        <v>0</v>
      </c>
    </row>
    <row customHeight="1" ht="14.25">
      <c r="A106" s="6936"/>
      <c r="B106" s="6936"/>
      <c r="C106" s="6936"/>
      <c r="D106" s="6936"/>
      <c r="E106" s="6937"/>
      <c r="F106" s="6937"/>
      <c r="G106" s="6937"/>
      <c r="H106" s="6937"/>
      <c r="I106" s="6938"/>
      <c r="J106" s="6938"/>
      <c r="K106" s="6939"/>
      <c r="L106" s="6940"/>
      <c r="M106" s="6941"/>
      <c r="N106" s="6941"/>
      <c r="O106" s="6941"/>
      <c r="P106" s="6942"/>
      <c r="Q106" s="6942"/>
      <c r="R106" s="6943"/>
      <c r="S106" s="6965"/>
      <c r="T106" s="6966"/>
      <c r="U106" s="6946"/>
      <c r="V106" s="7702"/>
      <c r="W106" s="7703"/>
      <c r="X106" s="7704"/>
      <c r="Y106" s="7705"/>
      <c r="Z106" s="7706"/>
      <c r="AA106" s="7707"/>
      <c r="AB106" s="7708"/>
      <c r="AC106" s="7709"/>
      <c r="AD106" s="6066"/>
      <c r="AE106" s="6950"/>
      <c r="AF106" s="6951"/>
      <c r="AG106" s="6952"/>
      <c r="AH106" s="6949"/>
      <c r="AI106" s="6950"/>
      <c r="AJ106" s="6951" t="s">
        <v>110</v>
      </c>
      <c r="AK106" s="6954"/>
      <c r="AL106" s="6949"/>
      <c r="AM106" s="6975"/>
      <c r="AN106" s="6951"/>
      <c r="AO106" s="6956" t="s">
        <v>28</v>
      </c>
      <c r="AP106" s="6976"/>
      <c r="AQ106" s="7710"/>
      <c r="AR106" s="7711"/>
      <c r="AS106" s="7712" t="s">
        <v>504</v>
      </c>
      <c r="AT106" s="7713"/>
      <c r="AU106" s="7714"/>
      <c r="AV106" s="7715"/>
      <c r="AW106" s="7716"/>
      <c r="AX106" s="7717"/>
      <c r="AY106" s="7718"/>
      <c r="AZ106" s="7719"/>
      <c r="BA106" s="7720"/>
      <c r="BB106" s="7721"/>
      <c r="BC106" s="6989"/>
      <c r="BD106" s="6962"/>
      <c r="BE106" s="6963"/>
      <c r="BF106" s="6963"/>
      <c r="BG106" s="6963"/>
      <c r="BH106" s="6963"/>
      <c r="BI106" s="6964">
        <v>0</v>
      </c>
    </row>
    <row customHeight="1" ht="14.25">
      <c r="A107" s="6936"/>
      <c r="B107" s="6936"/>
      <c r="C107" s="6936"/>
      <c r="D107" s="6936"/>
      <c r="E107" s="6937"/>
      <c r="F107" s="6937"/>
      <c r="G107" s="6937"/>
      <c r="H107" s="6937"/>
      <c r="I107" s="6938"/>
      <c r="J107" s="6938"/>
      <c r="K107" s="6939"/>
      <c r="L107" s="6940"/>
      <c r="M107" s="6941"/>
      <c r="N107" s="6941"/>
      <c r="O107" s="6941"/>
      <c r="P107" s="6942"/>
      <c r="Q107" s="6942"/>
      <c r="R107" s="6943"/>
      <c r="S107" s="6965"/>
      <c r="T107" s="6966"/>
      <c r="U107" s="6946"/>
      <c r="V107" s="7722"/>
      <c r="W107" s="7723"/>
      <c r="X107" s="7724"/>
      <c r="Y107" s="7725"/>
      <c r="Z107" s="7726"/>
      <c r="AA107" s="7727"/>
      <c r="AB107" s="7728"/>
      <c r="AC107" s="7729"/>
      <c r="AD107" s="6066"/>
      <c r="AE107" s="6950"/>
      <c r="AF107" s="6951"/>
      <c r="AG107" s="6952"/>
      <c r="AH107" s="6949"/>
      <c r="AI107" s="6950"/>
      <c r="AJ107" s="6951" t="s">
        <v>110</v>
      </c>
      <c r="AK107" s="6954"/>
      <c r="AL107" s="6949"/>
      <c r="AM107" s="7730"/>
      <c r="AN107" s="7731"/>
      <c r="AO107" s="7732" t="s">
        <v>505</v>
      </c>
      <c r="AP107" s="7733"/>
      <c r="AQ107" s="7734"/>
      <c r="AR107" s="7735"/>
      <c r="AS107" s="7736"/>
      <c r="AT107" s="7737"/>
      <c r="AU107" s="7738"/>
      <c r="AV107" s="7739"/>
      <c r="AW107" s="7740"/>
      <c r="AX107" s="7741"/>
      <c r="AY107" s="7742"/>
      <c r="AZ107" s="7743"/>
      <c r="BA107" s="7744"/>
      <c r="BB107" s="7745"/>
      <c r="BC107" s="6989"/>
      <c r="BD107" s="6962"/>
      <c r="BE107" s="6963"/>
      <c r="BF107" s="6963"/>
      <c r="BG107" s="6963"/>
      <c r="BH107" s="6963"/>
      <c r="BI107" s="6964">
        <v>0</v>
      </c>
    </row>
    <row customHeight="1" ht="14.25">
      <c r="A108" s="6936"/>
      <c r="B108" s="6936"/>
      <c r="C108" s="6936"/>
      <c r="D108" s="6936"/>
      <c r="E108" s="6937"/>
      <c r="F108" s="6937"/>
      <c r="G108" s="6937"/>
      <c r="H108" s="6937"/>
      <c r="I108" s="6938"/>
      <c r="J108" s="6938"/>
      <c r="K108" s="6939"/>
      <c r="L108" s="6940"/>
      <c r="M108" s="6941"/>
      <c r="N108" s="6941"/>
      <c r="O108" s="6941"/>
      <c r="P108" s="6942"/>
      <c r="Q108" s="6942"/>
      <c r="R108" s="6943"/>
      <c r="S108" s="6965"/>
      <c r="T108" s="6966"/>
      <c r="U108" s="6946"/>
      <c r="V108" s="7746"/>
      <c r="W108" s="7747"/>
      <c r="X108" s="7748"/>
      <c r="Y108" s="7749"/>
      <c r="Z108" s="7750"/>
      <c r="AA108" s="7751"/>
      <c r="AB108" s="7752"/>
      <c r="AC108" s="7753"/>
      <c r="AD108" s="6066"/>
      <c r="AE108" s="6950"/>
      <c r="AF108" s="6951" t="s">
        <v>109</v>
      </c>
      <c r="AG108" s="6952"/>
      <c r="AH108" s="6949"/>
      <c r="AI108" s="7754"/>
      <c r="AJ108" s="7755"/>
      <c r="AK108" s="7756" t="s">
        <v>506</v>
      </c>
      <c r="AL108" s="7757"/>
      <c r="AM108" s="7758"/>
      <c r="AN108" s="7759"/>
      <c r="AO108" s="7760"/>
      <c r="AP108" s="7761"/>
      <c r="AQ108" s="7762"/>
      <c r="AR108" s="7763"/>
      <c r="AS108" s="7764"/>
      <c r="AT108" s="7765"/>
      <c r="AU108" s="7766"/>
      <c r="AV108" s="7767"/>
      <c r="AW108" s="7768"/>
      <c r="AX108" s="7769"/>
      <c r="AY108" s="7770"/>
      <c r="AZ108" s="7771"/>
      <c r="BA108" s="7772"/>
      <c r="BB108" s="7773"/>
      <c r="BC108" s="6989"/>
      <c r="BD108" s="6962"/>
      <c r="BE108" s="6963"/>
      <c r="BF108" s="6963"/>
      <c r="BG108" s="6963"/>
      <c r="BH108" s="6963"/>
      <c r="BI108" s="6964">
        <v>0</v>
      </c>
    </row>
    <row customHeight="1" ht="14.25">
      <c r="A109" s="6936"/>
      <c r="B109" s="6936"/>
      <c r="C109" s="6936"/>
      <c r="D109" s="6936"/>
      <c r="E109" s="6937"/>
      <c r="F109" s="6937"/>
      <c r="G109" s="6937"/>
      <c r="H109" s="6937"/>
      <c r="I109" s="6938"/>
      <c r="J109" s="6938"/>
      <c r="K109" s="6939" t="str">
        <f>S105&amp;".1"</f>
        <v>.1.1</v>
      </c>
      <c r="L109" s="6940"/>
      <c r="M109" s="6941"/>
      <c r="N109" s="6941"/>
      <c r="O109" s="6941"/>
      <c r="P109" s="6942"/>
      <c r="Q109" s="6942"/>
      <c r="R109" s="6943">
        <v>1</v>
      </c>
      <c r="S109" s="6944" t="str">
        <f>$K109</f>
        <v>.1.1</v>
      </c>
      <c r="T109" s="6945"/>
      <c r="U109" s="6946"/>
      <c r="V109" s="6947"/>
      <c r="W109" s="6948"/>
      <c r="X109" s="6947"/>
      <c r="Y109" s="6948"/>
      <c r="Z109" s="6935"/>
      <c r="AA109" s="6949" t="s">
        <v>65</v>
      </c>
      <c r="AB109" s="6935"/>
      <c r="AC109" s="6949" t="s">
        <v>65</v>
      </c>
      <c r="AD109" s="6060" t="s">
        <v>65</v>
      </c>
      <c r="AE109" s="6953" t="s">
        <v>489</v>
      </c>
      <c r="AF109" s="6951" t="s">
        <v>90</v>
      </c>
      <c r="AG109" s="6952">
        <v>250</v>
      </c>
      <c r="AH109" s="6949" t="s">
        <v>65</v>
      </c>
      <c r="AI109" s="6950"/>
      <c r="AJ109" s="6951">
        <v>1</v>
      </c>
      <c r="AK109" s="6954" t="s">
        <v>518</v>
      </c>
      <c r="AL109" s="6949" t="s">
        <v>19</v>
      </c>
      <c r="AM109" s="6955"/>
      <c r="AN109" s="6951">
        <v>1</v>
      </c>
      <c r="AO109" s="6956" t="s">
        <v>28</v>
      </c>
      <c r="AP109" s="6957" t="s">
        <v>65</v>
      </c>
      <c r="AQ109" s="6958"/>
      <c r="AR109" s="6951">
        <v>1</v>
      </c>
      <c r="AS109" s="6959" t="s">
        <v>527</v>
      </c>
      <c r="AT109" s="6947"/>
      <c r="AU109" s="6948">
        <v>37.22328</v>
      </c>
      <c r="AV109" s="6947"/>
      <c r="AW109" s="6948">
        <v>5.73301</v>
      </c>
      <c r="AX109" s="6935">
        <v>45658</v>
      </c>
      <c r="AY109" s="6949" t="s">
        <v>65</v>
      </c>
      <c r="AZ109" s="6935">
        <v>46022</v>
      </c>
      <c r="BA109" s="6949" t="s">
        <v>65</v>
      </c>
      <c r="BB109" s="6960"/>
      <c r="BC109" s="6961" t="s">
        <v>503</v>
      </c>
      <c r="BD109" s="6962"/>
      <c r="BE109" s="6963"/>
      <c r="BF109" s="6963" t="str">
        <f>IF(T109="","",T109)</f>
        <v/>
      </c>
      <c r="BG109" s="6963"/>
      <c r="BH109" s="6963"/>
      <c r="BI109" s="6964">
        <v>0</v>
      </c>
    </row>
    <row customHeight="1" ht="14.25">
      <c r="A110" s="6936"/>
      <c r="B110" s="6936"/>
      <c r="C110" s="6936"/>
      <c r="D110" s="6936"/>
      <c r="E110" s="6937"/>
      <c r="F110" s="6937"/>
      <c r="G110" s="6937"/>
      <c r="H110" s="6937"/>
      <c r="I110" s="6938"/>
      <c r="J110" s="6938"/>
      <c r="K110" s="6939"/>
      <c r="L110" s="6940"/>
      <c r="M110" s="6941"/>
      <c r="N110" s="6941"/>
      <c r="O110" s="6941"/>
      <c r="P110" s="6942"/>
      <c r="Q110" s="6942"/>
      <c r="R110" s="6943"/>
      <c r="S110" s="6965"/>
      <c r="T110" s="6966"/>
      <c r="U110" s="6946"/>
      <c r="V110" s="7774"/>
      <c r="W110" s="7775"/>
      <c r="X110" s="7776"/>
      <c r="Y110" s="7777"/>
      <c r="Z110" s="7778"/>
      <c r="AA110" s="7779"/>
      <c r="AB110" s="7780"/>
      <c r="AC110" s="7781"/>
      <c r="AD110" s="6066"/>
      <c r="AE110" s="6950"/>
      <c r="AF110" s="6951" t="s">
        <v>89</v>
      </c>
      <c r="AG110" s="6952"/>
      <c r="AH110" s="6949"/>
      <c r="AI110" s="6950"/>
      <c r="AJ110" s="6951"/>
      <c r="AK110" s="6954"/>
      <c r="AL110" s="6949"/>
      <c r="AM110" s="6975"/>
      <c r="AN110" s="6951"/>
      <c r="AO110" s="6956" t="s">
        <v>28</v>
      </c>
      <c r="AP110" s="6976"/>
      <c r="AQ110" s="7782"/>
      <c r="AR110" s="7783"/>
      <c r="AS110" s="7784" t="s">
        <v>504</v>
      </c>
      <c r="AT110" s="7785"/>
      <c r="AU110" s="7786"/>
      <c r="AV110" s="7787"/>
      <c r="AW110" s="7788"/>
      <c r="AX110" s="7789"/>
      <c r="AY110" s="7790"/>
      <c r="AZ110" s="7791"/>
      <c r="BA110" s="7792"/>
      <c r="BB110" s="7793"/>
      <c r="BC110" s="6989"/>
      <c r="BD110" s="6962"/>
      <c r="BE110" s="6963"/>
      <c r="BF110" s="6963"/>
      <c r="BG110" s="6963"/>
      <c r="BH110" s="6963"/>
      <c r="BI110" s="6964">
        <v>0</v>
      </c>
    </row>
    <row customHeight="1" ht="14.25">
      <c r="A111" s="6936"/>
      <c r="B111" s="6936"/>
      <c r="C111" s="6936"/>
      <c r="D111" s="6936"/>
      <c r="E111" s="6937"/>
      <c r="F111" s="6937"/>
      <c r="G111" s="6937"/>
      <c r="H111" s="6937"/>
      <c r="I111" s="6938"/>
      <c r="J111" s="6938"/>
      <c r="K111" s="6939"/>
      <c r="L111" s="6940"/>
      <c r="M111" s="6941"/>
      <c r="N111" s="6941"/>
      <c r="O111" s="6941"/>
      <c r="P111" s="6942"/>
      <c r="Q111" s="6942"/>
      <c r="R111" s="6943"/>
      <c r="S111" s="6965"/>
      <c r="T111" s="6966"/>
      <c r="U111" s="6946"/>
      <c r="V111" s="7794"/>
      <c r="W111" s="7795"/>
      <c r="X111" s="7796"/>
      <c r="Y111" s="7797"/>
      <c r="Z111" s="7798"/>
      <c r="AA111" s="7799"/>
      <c r="AB111" s="7800"/>
      <c r="AC111" s="7801"/>
      <c r="AD111" s="6066"/>
      <c r="AE111" s="6950"/>
      <c r="AF111" s="6951" t="s">
        <v>89</v>
      </c>
      <c r="AG111" s="6952"/>
      <c r="AH111" s="6949"/>
      <c r="AI111" s="6950"/>
      <c r="AJ111" s="6951"/>
      <c r="AK111" s="6954"/>
      <c r="AL111" s="6949"/>
      <c r="AM111" s="7802"/>
      <c r="AN111" s="7803"/>
      <c r="AO111" s="7804" t="s">
        <v>505</v>
      </c>
      <c r="AP111" s="7805"/>
      <c r="AQ111" s="7806"/>
      <c r="AR111" s="7807"/>
      <c r="AS111" s="7808"/>
      <c r="AT111" s="7809"/>
      <c r="AU111" s="7810"/>
      <c r="AV111" s="7811"/>
      <c r="AW111" s="7812"/>
      <c r="AX111" s="7813"/>
      <c r="AY111" s="7814"/>
      <c r="AZ111" s="7815"/>
      <c r="BA111" s="7816"/>
      <c r="BB111" s="7817"/>
      <c r="BC111" s="6989"/>
      <c r="BD111" s="6962"/>
      <c r="BE111" s="6963"/>
      <c r="BF111" s="6963"/>
      <c r="BG111" s="6963"/>
      <c r="BH111" s="6963"/>
      <c r="BI111" s="6964">
        <v>0</v>
      </c>
    </row>
    <row customHeight="1" ht="14.25">
      <c r="A112" s="6936"/>
      <c r="B112" s="6936"/>
      <c r="C112" s="6936"/>
      <c r="D112" s="6936"/>
      <c r="E112" s="6937"/>
      <c r="F112" s="6937"/>
      <c r="G112" s="6937"/>
      <c r="H112" s="6937"/>
      <c r="I112" s="6938"/>
      <c r="J112" s="6938"/>
      <c r="K112" s="6939" t="str">
        <f>S108&amp;".1"</f>
        <v>.1</v>
      </c>
      <c r="L112" s="6940"/>
      <c r="M112" s="6941"/>
      <c r="N112" s="6941"/>
      <c r="O112" s="6941"/>
      <c r="P112" s="6942"/>
      <c r="Q112" s="6942"/>
      <c r="R112" s="6943">
        <v>1</v>
      </c>
      <c r="S112" s="6944" t="str">
        <f>$K112</f>
        <v>.1</v>
      </c>
      <c r="T112" s="6945"/>
      <c r="U112" s="6946"/>
      <c r="V112" s="6947"/>
      <c r="W112" s="6948"/>
      <c r="X112" s="6947"/>
      <c r="Y112" s="6948"/>
      <c r="Z112" s="6935"/>
      <c r="AA112" s="6949" t="s">
        <v>65</v>
      </c>
      <c r="AB112" s="6935"/>
      <c r="AC112" s="6949" t="s">
        <v>65</v>
      </c>
      <c r="AD112" s="6060" t="s">
        <v>65</v>
      </c>
      <c r="AE112" s="6950"/>
      <c r="AF112" s="6951">
        <v>1</v>
      </c>
      <c r="AG112" s="6952"/>
      <c r="AH112" s="6949" t="s">
        <v>65</v>
      </c>
      <c r="AI112" s="6953" t="s">
        <v>489</v>
      </c>
      <c r="AJ112" s="6951" t="s">
        <v>109</v>
      </c>
      <c r="AK112" s="6954" t="s">
        <v>520</v>
      </c>
      <c r="AL112" s="6949" t="s">
        <v>19</v>
      </c>
      <c r="AM112" s="6955"/>
      <c r="AN112" s="6951">
        <v>1</v>
      </c>
      <c r="AO112" s="6956" t="s">
        <v>28</v>
      </c>
      <c r="AP112" s="6957" t="s">
        <v>65</v>
      </c>
      <c r="AQ112" s="6958"/>
      <c r="AR112" s="6951">
        <v>1</v>
      </c>
      <c r="AS112" s="6959" t="s">
        <v>527</v>
      </c>
      <c r="AT112" s="6947"/>
      <c r="AU112" s="6948">
        <v>37.22328</v>
      </c>
      <c r="AV112" s="6947"/>
      <c r="AW112" s="6948">
        <v>6.68509</v>
      </c>
      <c r="AX112" s="6935">
        <v>45658</v>
      </c>
      <c r="AY112" s="6949" t="s">
        <v>65</v>
      </c>
      <c r="AZ112" s="6935">
        <v>46022</v>
      </c>
      <c r="BA112" s="6949" t="s">
        <v>65</v>
      </c>
      <c r="BB112" s="6960"/>
      <c r="BC112" s="6961" t="s">
        <v>503</v>
      </c>
      <c r="BD112" s="6962"/>
      <c r="BE112" s="6963"/>
      <c r="BF112" s="6963" t="str">
        <f>IF(T112="","",T112)</f>
        <v/>
      </c>
      <c r="BG112" s="6963"/>
      <c r="BH112" s="6963"/>
      <c r="BI112" s="6964">
        <v>0</v>
      </c>
    </row>
    <row customHeight="1" ht="14.25">
      <c r="A113" s="6936"/>
      <c r="B113" s="6936"/>
      <c r="C113" s="6936"/>
      <c r="D113" s="6936"/>
      <c r="E113" s="6937"/>
      <c r="F113" s="6937"/>
      <c r="G113" s="6937"/>
      <c r="H113" s="6937"/>
      <c r="I113" s="6938"/>
      <c r="J113" s="6938"/>
      <c r="K113" s="6939"/>
      <c r="L113" s="6940"/>
      <c r="M113" s="6941"/>
      <c r="N113" s="6941"/>
      <c r="O113" s="6941"/>
      <c r="P113" s="6942"/>
      <c r="Q113" s="6942"/>
      <c r="R113" s="6943"/>
      <c r="S113" s="6965"/>
      <c r="T113" s="6966"/>
      <c r="U113" s="6946"/>
      <c r="V113" s="7818"/>
      <c r="W113" s="7819"/>
      <c r="X113" s="7820"/>
      <c r="Y113" s="7821"/>
      <c r="Z113" s="7822"/>
      <c r="AA113" s="7823"/>
      <c r="AB113" s="7824"/>
      <c r="AC113" s="7825"/>
      <c r="AD113" s="6066"/>
      <c r="AE113" s="6950"/>
      <c r="AF113" s="6951"/>
      <c r="AG113" s="6952"/>
      <c r="AH113" s="6949"/>
      <c r="AI113" s="6950"/>
      <c r="AJ113" s="6951">
        <v>1</v>
      </c>
      <c r="AK113" s="6954"/>
      <c r="AL113" s="6949"/>
      <c r="AM113" s="6975"/>
      <c r="AN113" s="6951"/>
      <c r="AO113" s="6956" t="s">
        <v>28</v>
      </c>
      <c r="AP113" s="6976"/>
      <c r="AQ113" s="7826"/>
      <c r="AR113" s="7827"/>
      <c r="AS113" s="7828" t="s">
        <v>504</v>
      </c>
      <c r="AT113" s="7829"/>
      <c r="AU113" s="7830"/>
      <c r="AV113" s="7831"/>
      <c r="AW113" s="7832"/>
      <c r="AX113" s="7833"/>
      <c r="AY113" s="7834"/>
      <c r="AZ113" s="7835"/>
      <c r="BA113" s="7836"/>
      <c r="BB113" s="7837"/>
      <c r="BC113" s="6989"/>
      <c r="BD113" s="6962"/>
      <c r="BE113" s="6963"/>
      <c r="BF113" s="6963"/>
      <c r="BG113" s="6963"/>
      <c r="BH113" s="6963"/>
      <c r="BI113" s="6964">
        <v>0</v>
      </c>
    </row>
    <row customHeight="1" ht="14.25">
      <c r="A114" s="6936"/>
      <c r="B114" s="6936"/>
      <c r="C114" s="6936"/>
      <c r="D114" s="6936"/>
      <c r="E114" s="6937"/>
      <c r="F114" s="6937"/>
      <c r="G114" s="6937"/>
      <c r="H114" s="6937"/>
      <c r="I114" s="6938"/>
      <c r="J114" s="6938"/>
      <c r="K114" s="6939"/>
      <c r="L114" s="6940"/>
      <c r="M114" s="6941"/>
      <c r="N114" s="6941"/>
      <c r="O114" s="6941"/>
      <c r="P114" s="6942"/>
      <c r="Q114" s="6942"/>
      <c r="R114" s="6943"/>
      <c r="S114" s="6965"/>
      <c r="T114" s="6966"/>
      <c r="U114" s="6946"/>
      <c r="V114" s="7838"/>
      <c r="W114" s="7839"/>
      <c r="X114" s="7840"/>
      <c r="Y114" s="7841"/>
      <c r="Z114" s="7842"/>
      <c r="AA114" s="7843"/>
      <c r="AB114" s="7844"/>
      <c r="AC114" s="7845"/>
      <c r="AD114" s="6066"/>
      <c r="AE114" s="6950"/>
      <c r="AF114" s="6951"/>
      <c r="AG114" s="6952"/>
      <c r="AH114" s="6949"/>
      <c r="AI114" s="6950"/>
      <c r="AJ114" s="6951">
        <v>1</v>
      </c>
      <c r="AK114" s="6954"/>
      <c r="AL114" s="6949"/>
      <c r="AM114" s="7846"/>
      <c r="AN114" s="7847"/>
      <c r="AO114" s="7848" t="s">
        <v>505</v>
      </c>
      <c r="AP114" s="7849"/>
      <c r="AQ114" s="7850"/>
      <c r="AR114" s="7851"/>
      <c r="AS114" s="7852"/>
      <c r="AT114" s="7853"/>
      <c r="AU114" s="7854"/>
      <c r="AV114" s="7855"/>
      <c r="AW114" s="7856"/>
      <c r="AX114" s="7857"/>
      <c r="AY114" s="7858"/>
      <c r="AZ114" s="7859"/>
      <c r="BA114" s="7860"/>
      <c r="BB114" s="7861"/>
      <c r="BC114" s="6989"/>
      <c r="BD114" s="6962"/>
      <c r="BE114" s="6963"/>
      <c r="BF114" s="6963"/>
      <c r="BG114" s="6963"/>
      <c r="BH114" s="6963"/>
      <c r="BI114" s="6964">
        <v>0</v>
      </c>
    </row>
    <row customHeight="1" ht="14.25">
      <c r="A115" s="6936"/>
      <c r="B115" s="6936"/>
      <c r="C115" s="6936"/>
      <c r="D115" s="6936"/>
      <c r="E115" s="6937"/>
      <c r="F115" s="6937"/>
      <c r="G115" s="6937"/>
      <c r="H115" s="6937"/>
      <c r="I115" s="6938"/>
      <c r="J115" s="6938"/>
      <c r="K115" s="6939" t="str">
        <f>S111&amp;".1"</f>
        <v>.1</v>
      </c>
      <c r="L115" s="6940"/>
      <c r="M115" s="6941"/>
      <c r="N115" s="6941"/>
      <c r="O115" s="6941"/>
      <c r="P115" s="6942"/>
      <c r="Q115" s="6942"/>
      <c r="R115" s="6943">
        <v>1</v>
      </c>
      <c r="S115" s="6944" t="str">
        <f>$K115</f>
        <v>.1</v>
      </c>
      <c r="T115" s="6945"/>
      <c r="U115" s="6946"/>
      <c r="V115" s="6947"/>
      <c r="W115" s="6948"/>
      <c r="X115" s="6947"/>
      <c r="Y115" s="6948"/>
      <c r="Z115" s="6935"/>
      <c r="AA115" s="6949" t="s">
        <v>65</v>
      </c>
      <c r="AB115" s="6935"/>
      <c r="AC115" s="6949" t="s">
        <v>65</v>
      </c>
      <c r="AD115" s="6060" t="s">
        <v>65</v>
      </c>
      <c r="AE115" s="6950"/>
      <c r="AF115" s="6951">
        <v>1</v>
      </c>
      <c r="AG115" s="6952"/>
      <c r="AH115" s="6949" t="s">
        <v>65</v>
      </c>
      <c r="AI115" s="6953" t="s">
        <v>489</v>
      </c>
      <c r="AJ115" s="6951" t="s">
        <v>89</v>
      </c>
      <c r="AK115" s="6954" t="s">
        <v>521</v>
      </c>
      <c r="AL115" s="6949" t="s">
        <v>19</v>
      </c>
      <c r="AM115" s="6955"/>
      <c r="AN115" s="6951">
        <v>1</v>
      </c>
      <c r="AO115" s="6956" t="s">
        <v>28</v>
      </c>
      <c r="AP115" s="6957" t="s">
        <v>65</v>
      </c>
      <c r="AQ115" s="6958"/>
      <c r="AR115" s="6951">
        <v>1</v>
      </c>
      <c r="AS115" s="6959" t="s">
        <v>527</v>
      </c>
      <c r="AT115" s="6947"/>
      <c r="AU115" s="6948">
        <v>37.22328</v>
      </c>
      <c r="AV115" s="6947"/>
      <c r="AW115" s="6948">
        <v>21.77696</v>
      </c>
      <c r="AX115" s="6935">
        <v>45658</v>
      </c>
      <c r="AY115" s="6949" t="s">
        <v>65</v>
      </c>
      <c r="AZ115" s="6935">
        <v>46022</v>
      </c>
      <c r="BA115" s="6949" t="s">
        <v>65</v>
      </c>
      <c r="BB115" s="6960"/>
      <c r="BC115" s="6961" t="s">
        <v>503</v>
      </c>
      <c r="BD115" s="6962"/>
      <c r="BE115" s="6963"/>
      <c r="BF115" s="6963" t="str">
        <f>IF(T115="","",T115)</f>
        <v/>
      </c>
      <c r="BG115" s="6963"/>
      <c r="BH115" s="6963"/>
      <c r="BI115" s="6964">
        <v>0</v>
      </c>
    </row>
    <row customHeight="1" ht="14.25">
      <c r="A116" s="6936"/>
      <c r="B116" s="6936"/>
      <c r="C116" s="6936"/>
      <c r="D116" s="6936"/>
      <c r="E116" s="6937"/>
      <c r="F116" s="6937"/>
      <c r="G116" s="6937"/>
      <c r="H116" s="6937"/>
      <c r="I116" s="6938"/>
      <c r="J116" s="6938"/>
      <c r="K116" s="6939"/>
      <c r="L116" s="6940"/>
      <c r="M116" s="6941"/>
      <c r="N116" s="6941"/>
      <c r="O116" s="6941"/>
      <c r="P116" s="6942"/>
      <c r="Q116" s="6942"/>
      <c r="R116" s="6943"/>
      <c r="S116" s="6965"/>
      <c r="T116" s="6966"/>
      <c r="U116" s="6946"/>
      <c r="V116" s="7862"/>
      <c r="W116" s="7863"/>
      <c r="X116" s="7864"/>
      <c r="Y116" s="7865"/>
      <c r="Z116" s="7866"/>
      <c r="AA116" s="7867"/>
      <c r="AB116" s="7868"/>
      <c r="AC116" s="7869"/>
      <c r="AD116" s="6066"/>
      <c r="AE116" s="6950"/>
      <c r="AF116" s="6951"/>
      <c r="AG116" s="6952"/>
      <c r="AH116" s="6949"/>
      <c r="AI116" s="6950"/>
      <c r="AJ116" s="6951" t="s">
        <v>109</v>
      </c>
      <c r="AK116" s="6954"/>
      <c r="AL116" s="6949"/>
      <c r="AM116" s="6975"/>
      <c r="AN116" s="6951"/>
      <c r="AO116" s="6956" t="s">
        <v>28</v>
      </c>
      <c r="AP116" s="6976"/>
      <c r="AQ116" s="7870"/>
      <c r="AR116" s="7871"/>
      <c r="AS116" s="7872" t="s">
        <v>504</v>
      </c>
      <c r="AT116" s="7873"/>
      <c r="AU116" s="7874"/>
      <c r="AV116" s="7875"/>
      <c r="AW116" s="7876"/>
      <c r="AX116" s="7877"/>
      <c r="AY116" s="7878"/>
      <c r="AZ116" s="7879"/>
      <c r="BA116" s="7880"/>
      <c r="BB116" s="7881"/>
      <c r="BC116" s="6989"/>
      <c r="BD116" s="6962"/>
      <c r="BE116" s="6963"/>
      <c r="BF116" s="6963"/>
      <c r="BG116" s="6963"/>
      <c r="BH116" s="6963"/>
      <c r="BI116" s="6964">
        <v>0</v>
      </c>
    </row>
    <row customHeight="1" ht="14.25">
      <c r="A117" s="6936"/>
      <c r="B117" s="6936"/>
      <c r="C117" s="6936"/>
      <c r="D117" s="6936"/>
      <c r="E117" s="6937"/>
      <c r="F117" s="6937"/>
      <c r="G117" s="6937"/>
      <c r="H117" s="6937"/>
      <c r="I117" s="6938"/>
      <c r="J117" s="6938"/>
      <c r="K117" s="6939"/>
      <c r="L117" s="6940"/>
      <c r="M117" s="6941"/>
      <c r="N117" s="6941"/>
      <c r="O117" s="6941"/>
      <c r="P117" s="6942"/>
      <c r="Q117" s="6942"/>
      <c r="R117" s="6943"/>
      <c r="S117" s="6965"/>
      <c r="T117" s="6966"/>
      <c r="U117" s="6946"/>
      <c r="V117" s="7882"/>
      <c r="W117" s="7883"/>
      <c r="X117" s="7884"/>
      <c r="Y117" s="7885"/>
      <c r="Z117" s="7886"/>
      <c r="AA117" s="7887"/>
      <c r="AB117" s="7888"/>
      <c r="AC117" s="7889"/>
      <c r="AD117" s="6066"/>
      <c r="AE117" s="6950"/>
      <c r="AF117" s="6951"/>
      <c r="AG117" s="6952"/>
      <c r="AH117" s="6949"/>
      <c r="AI117" s="6950"/>
      <c r="AJ117" s="6951" t="s">
        <v>109</v>
      </c>
      <c r="AK117" s="6954"/>
      <c r="AL117" s="6949"/>
      <c r="AM117" s="7890"/>
      <c r="AN117" s="7891"/>
      <c r="AO117" s="7892" t="s">
        <v>505</v>
      </c>
      <c r="AP117" s="7893"/>
      <c r="AQ117" s="7894"/>
      <c r="AR117" s="7895"/>
      <c r="AS117" s="7896"/>
      <c r="AT117" s="7897"/>
      <c r="AU117" s="7898"/>
      <c r="AV117" s="7899"/>
      <c r="AW117" s="7900"/>
      <c r="AX117" s="7901"/>
      <c r="AY117" s="7902"/>
      <c r="AZ117" s="7903"/>
      <c r="BA117" s="7904"/>
      <c r="BB117" s="7905"/>
      <c r="BC117" s="6989"/>
      <c r="BD117" s="6962"/>
      <c r="BE117" s="6963"/>
      <c r="BF117" s="6963"/>
      <c r="BG117" s="6963"/>
      <c r="BH117" s="6963"/>
      <c r="BI117" s="6964">
        <v>0</v>
      </c>
    </row>
    <row customHeight="1" ht="14.25">
      <c r="A118" s="6936"/>
      <c r="B118" s="6936"/>
      <c r="C118" s="6936"/>
      <c r="D118" s="6936"/>
      <c r="E118" s="6937"/>
      <c r="F118" s="6937"/>
      <c r="G118" s="6937"/>
      <c r="H118" s="6937"/>
      <c r="I118" s="6938"/>
      <c r="J118" s="6938"/>
      <c r="K118" s="6939" t="str">
        <f>S114&amp;".1"</f>
        <v>.1</v>
      </c>
      <c r="L118" s="6940"/>
      <c r="M118" s="6941"/>
      <c r="N118" s="6941"/>
      <c r="O118" s="6941"/>
      <c r="P118" s="6942"/>
      <c r="Q118" s="6942"/>
      <c r="R118" s="6943">
        <v>1</v>
      </c>
      <c r="S118" s="6944" t="str">
        <f>$K118</f>
        <v>.1</v>
      </c>
      <c r="T118" s="6945"/>
      <c r="U118" s="6946"/>
      <c r="V118" s="6947"/>
      <c r="W118" s="6948"/>
      <c r="X118" s="6947"/>
      <c r="Y118" s="6948"/>
      <c r="Z118" s="6935"/>
      <c r="AA118" s="6949" t="s">
        <v>65</v>
      </c>
      <c r="AB118" s="6935"/>
      <c r="AC118" s="6949" t="s">
        <v>65</v>
      </c>
      <c r="AD118" s="6060" t="s">
        <v>65</v>
      </c>
      <c r="AE118" s="6950"/>
      <c r="AF118" s="6951">
        <v>1</v>
      </c>
      <c r="AG118" s="6952"/>
      <c r="AH118" s="6949" t="s">
        <v>65</v>
      </c>
      <c r="AI118" s="6953" t="s">
        <v>489</v>
      </c>
      <c r="AJ118" s="6951" t="s">
        <v>90</v>
      </c>
      <c r="AK118" s="6954" t="s">
        <v>522</v>
      </c>
      <c r="AL118" s="6949" t="s">
        <v>19</v>
      </c>
      <c r="AM118" s="6955"/>
      <c r="AN118" s="6951">
        <v>1</v>
      </c>
      <c r="AO118" s="6956" t="s">
        <v>28</v>
      </c>
      <c r="AP118" s="6957" t="s">
        <v>65</v>
      </c>
      <c r="AQ118" s="6958"/>
      <c r="AR118" s="6951">
        <v>1</v>
      </c>
      <c r="AS118" s="6959" t="s">
        <v>527</v>
      </c>
      <c r="AT118" s="6947"/>
      <c r="AU118" s="6948">
        <v>37.22328</v>
      </c>
      <c r="AV118" s="6947"/>
      <c r="AW118" s="6948">
        <v>22.9983</v>
      </c>
      <c r="AX118" s="6935">
        <v>45658</v>
      </c>
      <c r="AY118" s="6949" t="s">
        <v>65</v>
      </c>
      <c r="AZ118" s="6935">
        <v>46022</v>
      </c>
      <c r="BA118" s="6949" t="s">
        <v>65</v>
      </c>
      <c r="BB118" s="6960"/>
      <c r="BC118" s="6961" t="s">
        <v>503</v>
      </c>
      <c r="BD118" s="6962"/>
      <c r="BE118" s="6963"/>
      <c r="BF118" s="6963" t="str">
        <f>IF(T118="","",T118)</f>
        <v/>
      </c>
      <c r="BG118" s="6963"/>
      <c r="BH118" s="6963"/>
      <c r="BI118" s="6964">
        <v>0</v>
      </c>
    </row>
    <row customHeight="1" ht="14.25">
      <c r="A119" s="6936"/>
      <c r="B119" s="6936"/>
      <c r="C119" s="6936"/>
      <c r="D119" s="6936"/>
      <c r="E119" s="6937"/>
      <c r="F119" s="6937"/>
      <c r="G119" s="6937"/>
      <c r="H119" s="6937"/>
      <c r="I119" s="6938"/>
      <c r="J119" s="6938"/>
      <c r="K119" s="6939"/>
      <c r="L119" s="6940"/>
      <c r="M119" s="6941"/>
      <c r="N119" s="6941"/>
      <c r="O119" s="6941"/>
      <c r="P119" s="6942"/>
      <c r="Q119" s="6942"/>
      <c r="R119" s="6943"/>
      <c r="S119" s="6965"/>
      <c r="T119" s="6966"/>
      <c r="U119" s="6946"/>
      <c r="V119" s="7906"/>
      <c r="W119" s="7907"/>
      <c r="X119" s="7908"/>
      <c r="Y119" s="7909"/>
      <c r="Z119" s="7910"/>
      <c r="AA119" s="7911"/>
      <c r="AB119" s="7912"/>
      <c r="AC119" s="7913"/>
      <c r="AD119" s="6066"/>
      <c r="AE119" s="6950"/>
      <c r="AF119" s="6951"/>
      <c r="AG119" s="6952"/>
      <c r="AH119" s="6949"/>
      <c r="AI119" s="6950"/>
      <c r="AJ119" s="6951" t="s">
        <v>89</v>
      </c>
      <c r="AK119" s="6954"/>
      <c r="AL119" s="6949"/>
      <c r="AM119" s="6975"/>
      <c r="AN119" s="6951"/>
      <c r="AO119" s="6956" t="s">
        <v>28</v>
      </c>
      <c r="AP119" s="6976"/>
      <c r="AQ119" s="7914"/>
      <c r="AR119" s="7915"/>
      <c r="AS119" s="7916" t="s">
        <v>504</v>
      </c>
      <c r="AT119" s="7917"/>
      <c r="AU119" s="7918"/>
      <c r="AV119" s="7919"/>
      <c r="AW119" s="7920"/>
      <c r="AX119" s="7921"/>
      <c r="AY119" s="7922"/>
      <c r="AZ119" s="7923"/>
      <c r="BA119" s="7924"/>
      <c r="BB119" s="7925"/>
      <c r="BC119" s="6989"/>
      <c r="BD119" s="6962"/>
      <c r="BE119" s="6963"/>
      <c r="BF119" s="6963"/>
      <c r="BG119" s="6963"/>
      <c r="BH119" s="6963"/>
      <c r="BI119" s="6964">
        <v>0</v>
      </c>
    </row>
    <row customHeight="1" ht="14.25">
      <c r="A120" s="6936"/>
      <c r="B120" s="6936"/>
      <c r="C120" s="6936"/>
      <c r="D120" s="6936"/>
      <c r="E120" s="6937"/>
      <c r="F120" s="6937"/>
      <c r="G120" s="6937"/>
      <c r="H120" s="6937"/>
      <c r="I120" s="6938"/>
      <c r="J120" s="6938"/>
      <c r="K120" s="6939"/>
      <c r="L120" s="6940"/>
      <c r="M120" s="6941"/>
      <c r="N120" s="6941"/>
      <c r="O120" s="6941"/>
      <c r="P120" s="6942"/>
      <c r="Q120" s="6942"/>
      <c r="R120" s="6943"/>
      <c r="S120" s="6965"/>
      <c r="T120" s="6966"/>
      <c r="U120" s="6946"/>
      <c r="V120" s="7926"/>
      <c r="W120" s="7927"/>
      <c r="X120" s="7928"/>
      <c r="Y120" s="7929"/>
      <c r="Z120" s="7930"/>
      <c r="AA120" s="7931"/>
      <c r="AB120" s="7932"/>
      <c r="AC120" s="7933"/>
      <c r="AD120" s="6066"/>
      <c r="AE120" s="6950"/>
      <c r="AF120" s="6951"/>
      <c r="AG120" s="6952"/>
      <c r="AH120" s="6949"/>
      <c r="AI120" s="6950"/>
      <c r="AJ120" s="6951" t="s">
        <v>89</v>
      </c>
      <c r="AK120" s="6954"/>
      <c r="AL120" s="6949"/>
      <c r="AM120" s="7934"/>
      <c r="AN120" s="7935"/>
      <c r="AO120" s="7936" t="s">
        <v>505</v>
      </c>
      <c r="AP120" s="7937"/>
      <c r="AQ120" s="7938"/>
      <c r="AR120" s="7939"/>
      <c r="AS120" s="7940"/>
      <c r="AT120" s="7941"/>
      <c r="AU120" s="7942"/>
      <c r="AV120" s="7943"/>
      <c r="AW120" s="7944"/>
      <c r="AX120" s="7945"/>
      <c r="AY120" s="7946"/>
      <c r="AZ120" s="7947"/>
      <c r="BA120" s="7948"/>
      <c r="BB120" s="7949"/>
      <c r="BC120" s="6989"/>
      <c r="BD120" s="6962"/>
      <c r="BE120" s="6963"/>
      <c r="BF120" s="6963"/>
      <c r="BG120" s="6963"/>
      <c r="BH120" s="6963"/>
      <c r="BI120" s="6964">
        <v>0</v>
      </c>
    </row>
    <row customHeight="1" ht="14.25">
      <c r="A121" s="6936"/>
      <c r="B121" s="6936"/>
      <c r="C121" s="6936"/>
      <c r="D121" s="6936"/>
      <c r="E121" s="6937"/>
      <c r="F121" s="6937"/>
      <c r="G121" s="6937"/>
      <c r="H121" s="6937"/>
      <c r="I121" s="6938"/>
      <c r="J121" s="6938"/>
      <c r="K121" s="6939" t="str">
        <f>S117&amp;".1"</f>
        <v>.1</v>
      </c>
      <c r="L121" s="6940"/>
      <c r="M121" s="6941"/>
      <c r="N121" s="6941"/>
      <c r="O121" s="6941"/>
      <c r="P121" s="6942"/>
      <c r="Q121" s="6942"/>
      <c r="R121" s="6943">
        <v>1</v>
      </c>
      <c r="S121" s="6944" t="str">
        <f>$K121</f>
        <v>.1</v>
      </c>
      <c r="T121" s="6945"/>
      <c r="U121" s="6946"/>
      <c r="V121" s="6947"/>
      <c r="W121" s="6948"/>
      <c r="X121" s="6947"/>
      <c r="Y121" s="6948"/>
      <c r="Z121" s="6935"/>
      <c r="AA121" s="6949" t="s">
        <v>65</v>
      </c>
      <c r="AB121" s="6935"/>
      <c r="AC121" s="6949" t="s">
        <v>65</v>
      </c>
      <c r="AD121" s="6060" t="s">
        <v>65</v>
      </c>
      <c r="AE121" s="6950"/>
      <c r="AF121" s="6951">
        <v>1</v>
      </c>
      <c r="AG121" s="6952"/>
      <c r="AH121" s="6949" t="s">
        <v>65</v>
      </c>
      <c r="AI121" s="6953" t="s">
        <v>489</v>
      </c>
      <c r="AJ121" s="6951" t="s">
        <v>110</v>
      </c>
      <c r="AK121" s="6954" t="s">
        <v>523</v>
      </c>
      <c r="AL121" s="6949" t="s">
        <v>19</v>
      </c>
      <c r="AM121" s="6955"/>
      <c r="AN121" s="6951">
        <v>1</v>
      </c>
      <c r="AO121" s="6956" t="s">
        <v>28</v>
      </c>
      <c r="AP121" s="6957" t="s">
        <v>65</v>
      </c>
      <c r="AQ121" s="6958"/>
      <c r="AR121" s="6951">
        <v>1</v>
      </c>
      <c r="AS121" s="6959" t="s">
        <v>527</v>
      </c>
      <c r="AT121" s="6947"/>
      <c r="AU121" s="6948">
        <v>37.22328</v>
      </c>
      <c r="AV121" s="6947"/>
      <c r="AW121" s="6948">
        <v>23.63877</v>
      </c>
      <c r="AX121" s="6935">
        <v>45658</v>
      </c>
      <c r="AY121" s="6949" t="s">
        <v>65</v>
      </c>
      <c r="AZ121" s="6935">
        <v>46022</v>
      </c>
      <c r="BA121" s="6949" t="s">
        <v>65</v>
      </c>
      <c r="BB121" s="6960"/>
      <c r="BC121" s="6961" t="s">
        <v>503</v>
      </c>
      <c r="BD121" s="6962"/>
      <c r="BE121" s="6963"/>
      <c r="BF121" s="6963" t="str">
        <f>IF(T121="","",T121)</f>
        <v/>
      </c>
      <c r="BG121" s="6963"/>
      <c r="BH121" s="6963"/>
      <c r="BI121" s="6964">
        <v>0</v>
      </c>
    </row>
    <row customHeight="1" ht="14.25">
      <c r="A122" s="6936"/>
      <c r="B122" s="6936"/>
      <c r="C122" s="6936"/>
      <c r="D122" s="6936"/>
      <c r="E122" s="6937"/>
      <c r="F122" s="6937"/>
      <c r="G122" s="6937"/>
      <c r="H122" s="6937"/>
      <c r="I122" s="6938"/>
      <c r="J122" s="6938"/>
      <c r="K122" s="6939"/>
      <c r="L122" s="6940"/>
      <c r="M122" s="6941"/>
      <c r="N122" s="6941"/>
      <c r="O122" s="6941"/>
      <c r="P122" s="6942"/>
      <c r="Q122" s="6942"/>
      <c r="R122" s="6943"/>
      <c r="S122" s="6965"/>
      <c r="T122" s="6966"/>
      <c r="U122" s="6946"/>
      <c r="V122" s="7950"/>
      <c r="W122" s="7951"/>
      <c r="X122" s="7952"/>
      <c r="Y122" s="7953"/>
      <c r="Z122" s="7954"/>
      <c r="AA122" s="7955"/>
      <c r="AB122" s="7956"/>
      <c r="AC122" s="7957"/>
      <c r="AD122" s="6066"/>
      <c r="AE122" s="6950"/>
      <c r="AF122" s="6951"/>
      <c r="AG122" s="6952"/>
      <c r="AH122" s="6949"/>
      <c r="AI122" s="6950"/>
      <c r="AJ122" s="6951" t="s">
        <v>90</v>
      </c>
      <c r="AK122" s="6954"/>
      <c r="AL122" s="6949"/>
      <c r="AM122" s="6975"/>
      <c r="AN122" s="6951"/>
      <c r="AO122" s="6956" t="s">
        <v>28</v>
      </c>
      <c r="AP122" s="6976"/>
      <c r="AQ122" s="7958"/>
      <c r="AR122" s="7959"/>
      <c r="AS122" s="7960" t="s">
        <v>504</v>
      </c>
      <c r="AT122" s="7961"/>
      <c r="AU122" s="7962"/>
      <c r="AV122" s="7963"/>
      <c r="AW122" s="7964"/>
      <c r="AX122" s="7965"/>
      <c r="AY122" s="7966"/>
      <c r="AZ122" s="7967"/>
      <c r="BA122" s="7968"/>
      <c r="BB122" s="7969"/>
      <c r="BC122" s="6989"/>
      <c r="BD122" s="6962"/>
      <c r="BE122" s="6963"/>
      <c r="BF122" s="6963"/>
      <c r="BG122" s="6963"/>
      <c r="BH122" s="6963"/>
      <c r="BI122" s="6964">
        <v>0</v>
      </c>
    </row>
    <row customHeight="1" ht="14.25">
      <c r="A123" s="6936"/>
      <c r="B123" s="6936"/>
      <c r="C123" s="6936"/>
      <c r="D123" s="6936"/>
      <c r="E123" s="6937"/>
      <c r="F123" s="6937"/>
      <c r="G123" s="6937"/>
      <c r="H123" s="6937"/>
      <c r="I123" s="6938"/>
      <c r="J123" s="6938"/>
      <c r="K123" s="6939"/>
      <c r="L123" s="6940"/>
      <c r="M123" s="6941"/>
      <c r="N123" s="6941"/>
      <c r="O123" s="6941"/>
      <c r="P123" s="6942"/>
      <c r="Q123" s="6942"/>
      <c r="R123" s="6943"/>
      <c r="S123" s="6965"/>
      <c r="T123" s="6966"/>
      <c r="U123" s="6946"/>
      <c r="V123" s="7970"/>
      <c r="W123" s="7971"/>
      <c r="X123" s="7972"/>
      <c r="Y123" s="7973"/>
      <c r="Z123" s="7974"/>
      <c r="AA123" s="7975"/>
      <c r="AB123" s="7976"/>
      <c r="AC123" s="7977"/>
      <c r="AD123" s="6066"/>
      <c r="AE123" s="6950"/>
      <c r="AF123" s="6951"/>
      <c r="AG123" s="6952"/>
      <c r="AH123" s="6949"/>
      <c r="AI123" s="6950"/>
      <c r="AJ123" s="6951" t="s">
        <v>90</v>
      </c>
      <c r="AK123" s="6954"/>
      <c r="AL123" s="6949"/>
      <c r="AM123" s="7978"/>
      <c r="AN123" s="7979"/>
      <c r="AO123" s="7980" t="s">
        <v>505</v>
      </c>
      <c r="AP123" s="7981"/>
      <c r="AQ123" s="7982"/>
      <c r="AR123" s="7983"/>
      <c r="AS123" s="7984"/>
      <c r="AT123" s="7985"/>
      <c r="AU123" s="7986"/>
      <c r="AV123" s="7987"/>
      <c r="AW123" s="7988"/>
      <c r="AX123" s="7989"/>
      <c r="AY123" s="7990"/>
      <c r="AZ123" s="7991"/>
      <c r="BA123" s="7992"/>
      <c r="BB123" s="7993"/>
      <c r="BC123" s="6989"/>
      <c r="BD123" s="6962"/>
      <c r="BE123" s="6963"/>
      <c r="BF123" s="6963"/>
      <c r="BG123" s="6963"/>
      <c r="BH123" s="6963"/>
      <c r="BI123" s="6964">
        <v>0</v>
      </c>
    </row>
    <row customHeight="1" ht="14.25">
      <c r="A124" s="6936"/>
      <c r="B124" s="6936"/>
      <c r="C124" s="6936"/>
      <c r="D124" s="6936"/>
      <c r="E124" s="6937"/>
      <c r="F124" s="6937"/>
      <c r="G124" s="6937"/>
      <c r="H124" s="6937"/>
      <c r="I124" s="6938"/>
      <c r="J124" s="6938"/>
      <c r="K124" s="6939" t="str">
        <f>S120&amp;".1"</f>
        <v>.1</v>
      </c>
      <c r="L124" s="6940"/>
      <c r="M124" s="6941"/>
      <c r="N124" s="6941"/>
      <c r="O124" s="6941"/>
      <c r="P124" s="6942"/>
      <c r="Q124" s="6942"/>
      <c r="R124" s="6943">
        <v>1</v>
      </c>
      <c r="S124" s="6944" t="str">
        <f>$K124</f>
        <v>.1</v>
      </c>
      <c r="T124" s="6945"/>
      <c r="U124" s="6946"/>
      <c r="V124" s="6947"/>
      <c r="W124" s="6948"/>
      <c r="X124" s="6947"/>
      <c r="Y124" s="6948"/>
      <c r="Z124" s="6935"/>
      <c r="AA124" s="6949" t="s">
        <v>65</v>
      </c>
      <c r="AB124" s="6935"/>
      <c r="AC124" s="6949" t="s">
        <v>65</v>
      </c>
      <c r="AD124" s="6060" t="s">
        <v>65</v>
      </c>
      <c r="AE124" s="6950"/>
      <c r="AF124" s="6951">
        <v>1</v>
      </c>
      <c r="AG124" s="6952"/>
      <c r="AH124" s="6949" t="s">
        <v>65</v>
      </c>
      <c r="AI124" s="6953" t="s">
        <v>489</v>
      </c>
      <c r="AJ124" s="6951" t="s">
        <v>91</v>
      </c>
      <c r="AK124" s="6954" t="s">
        <v>524</v>
      </c>
      <c r="AL124" s="6949" t="s">
        <v>19</v>
      </c>
      <c r="AM124" s="6955"/>
      <c r="AN124" s="6951">
        <v>1</v>
      </c>
      <c r="AO124" s="6956" t="s">
        <v>28</v>
      </c>
      <c r="AP124" s="6957" t="s">
        <v>65</v>
      </c>
      <c r="AQ124" s="6958"/>
      <c r="AR124" s="6951">
        <v>1</v>
      </c>
      <c r="AS124" s="6959" t="s">
        <v>527</v>
      </c>
      <c r="AT124" s="6947"/>
      <c r="AU124" s="6948">
        <v>37.22328</v>
      </c>
      <c r="AV124" s="6947"/>
      <c r="AW124" s="6948">
        <v>25.68203</v>
      </c>
      <c r="AX124" s="6935">
        <v>45658</v>
      </c>
      <c r="AY124" s="6949" t="s">
        <v>65</v>
      </c>
      <c r="AZ124" s="6935">
        <v>46022</v>
      </c>
      <c r="BA124" s="6949" t="s">
        <v>65</v>
      </c>
      <c r="BB124" s="6960"/>
      <c r="BC124" s="6961" t="s">
        <v>503</v>
      </c>
      <c r="BD124" s="6962"/>
      <c r="BE124" s="6963"/>
      <c r="BF124" s="6963" t="str">
        <f>IF(T124="","",T124)</f>
        <v/>
      </c>
      <c r="BG124" s="6963"/>
      <c r="BH124" s="6963"/>
      <c r="BI124" s="6964">
        <v>0</v>
      </c>
    </row>
    <row customHeight="1" ht="14.25">
      <c r="A125" s="6936"/>
      <c r="B125" s="6936"/>
      <c r="C125" s="6936"/>
      <c r="D125" s="6936"/>
      <c r="E125" s="6937"/>
      <c r="F125" s="6937"/>
      <c r="G125" s="6937"/>
      <c r="H125" s="6937"/>
      <c r="I125" s="6938"/>
      <c r="J125" s="6938"/>
      <c r="K125" s="6939"/>
      <c r="L125" s="6940"/>
      <c r="M125" s="6941"/>
      <c r="N125" s="6941"/>
      <c r="O125" s="6941"/>
      <c r="P125" s="6942"/>
      <c r="Q125" s="6942"/>
      <c r="R125" s="6943"/>
      <c r="S125" s="6965"/>
      <c r="T125" s="6966"/>
      <c r="U125" s="6946"/>
      <c r="V125" s="7994"/>
      <c r="W125" s="7995"/>
      <c r="X125" s="7996"/>
      <c r="Y125" s="7997"/>
      <c r="Z125" s="7998"/>
      <c r="AA125" s="7999"/>
      <c r="AB125" s="8000"/>
      <c r="AC125" s="8001"/>
      <c r="AD125" s="6066"/>
      <c r="AE125" s="6950"/>
      <c r="AF125" s="6951"/>
      <c r="AG125" s="6952"/>
      <c r="AH125" s="6949"/>
      <c r="AI125" s="6950"/>
      <c r="AJ125" s="6951" t="s">
        <v>110</v>
      </c>
      <c r="AK125" s="6954"/>
      <c r="AL125" s="6949"/>
      <c r="AM125" s="6975"/>
      <c r="AN125" s="6951"/>
      <c r="AO125" s="6956" t="s">
        <v>28</v>
      </c>
      <c r="AP125" s="6976"/>
      <c r="AQ125" s="8002"/>
      <c r="AR125" s="8003"/>
      <c r="AS125" s="8004" t="s">
        <v>504</v>
      </c>
      <c r="AT125" s="8005"/>
      <c r="AU125" s="8006"/>
      <c r="AV125" s="8007"/>
      <c r="AW125" s="8008"/>
      <c r="AX125" s="8009"/>
      <c r="AY125" s="8010"/>
      <c r="AZ125" s="8011"/>
      <c r="BA125" s="8012"/>
      <c r="BB125" s="8013"/>
      <c r="BC125" s="6989"/>
      <c r="BD125" s="6962"/>
      <c r="BE125" s="6963"/>
      <c r="BF125" s="6963"/>
      <c r="BG125" s="6963"/>
      <c r="BH125" s="6963"/>
      <c r="BI125" s="6964">
        <v>0</v>
      </c>
    </row>
    <row customHeight="1" ht="14.25">
      <c r="A126" s="6936"/>
      <c r="B126" s="6936"/>
      <c r="C126" s="6936"/>
      <c r="D126" s="6936"/>
      <c r="E126" s="6937"/>
      <c r="F126" s="6937"/>
      <c r="G126" s="6937"/>
      <c r="H126" s="6937"/>
      <c r="I126" s="6938"/>
      <c r="J126" s="6938"/>
      <c r="K126" s="6939"/>
      <c r="L126" s="6940"/>
      <c r="M126" s="6941"/>
      <c r="N126" s="6941"/>
      <c r="O126" s="6941"/>
      <c r="P126" s="6942"/>
      <c r="Q126" s="6942"/>
      <c r="R126" s="6943"/>
      <c r="S126" s="6965"/>
      <c r="T126" s="6966"/>
      <c r="U126" s="6946"/>
      <c r="V126" s="8014"/>
      <c r="W126" s="8015"/>
      <c r="X126" s="8016"/>
      <c r="Y126" s="8017"/>
      <c r="Z126" s="8018"/>
      <c r="AA126" s="8019"/>
      <c r="AB126" s="8020"/>
      <c r="AC126" s="8021"/>
      <c r="AD126" s="6066"/>
      <c r="AE126" s="6950"/>
      <c r="AF126" s="6951"/>
      <c r="AG126" s="6952"/>
      <c r="AH126" s="6949"/>
      <c r="AI126" s="6950"/>
      <c r="AJ126" s="6951" t="s">
        <v>110</v>
      </c>
      <c r="AK126" s="6954"/>
      <c r="AL126" s="6949"/>
      <c r="AM126" s="8022"/>
      <c r="AN126" s="8023"/>
      <c r="AO126" s="8024" t="s">
        <v>505</v>
      </c>
      <c r="AP126" s="8025"/>
      <c r="AQ126" s="8026"/>
      <c r="AR126" s="8027"/>
      <c r="AS126" s="8028"/>
      <c r="AT126" s="8029"/>
      <c r="AU126" s="8030"/>
      <c r="AV126" s="8031"/>
      <c r="AW126" s="8032"/>
      <c r="AX126" s="8033"/>
      <c r="AY126" s="8034"/>
      <c r="AZ126" s="8035"/>
      <c r="BA126" s="8036"/>
      <c r="BB126" s="8037"/>
      <c r="BC126" s="6989"/>
      <c r="BD126" s="6962"/>
      <c r="BE126" s="6963"/>
      <c r="BF126" s="6963"/>
      <c r="BG126" s="6963"/>
      <c r="BH126" s="6963"/>
      <c r="BI126" s="6964">
        <v>0</v>
      </c>
    </row>
    <row customHeight="1" ht="14.25">
      <c r="A127" s="6936"/>
      <c r="B127" s="6936"/>
      <c r="C127" s="6936"/>
      <c r="D127" s="6936"/>
      <c r="E127" s="6937"/>
      <c r="F127" s="6937"/>
      <c r="G127" s="6937"/>
      <c r="H127" s="6937"/>
      <c r="I127" s="6938"/>
      <c r="J127" s="6938"/>
      <c r="K127" s="6939"/>
      <c r="L127" s="6940"/>
      <c r="M127" s="6941"/>
      <c r="N127" s="6941"/>
      <c r="O127" s="6941"/>
      <c r="P127" s="6942"/>
      <c r="Q127" s="6942"/>
      <c r="R127" s="6943"/>
      <c r="S127" s="6965"/>
      <c r="T127" s="6966"/>
      <c r="U127" s="6946"/>
      <c r="V127" s="8038"/>
      <c r="W127" s="8039"/>
      <c r="X127" s="8040"/>
      <c r="Y127" s="8041"/>
      <c r="Z127" s="8042"/>
      <c r="AA127" s="8043"/>
      <c r="AB127" s="8044"/>
      <c r="AC127" s="8045"/>
      <c r="AD127" s="6066"/>
      <c r="AE127" s="6950"/>
      <c r="AF127" s="6951" t="s">
        <v>89</v>
      </c>
      <c r="AG127" s="6952"/>
      <c r="AH127" s="6949"/>
      <c r="AI127" s="8046"/>
      <c r="AJ127" s="8047"/>
      <c r="AK127" s="8048" t="s">
        <v>506</v>
      </c>
      <c r="AL127" s="8049"/>
      <c r="AM127" s="8050"/>
      <c r="AN127" s="8051"/>
      <c r="AO127" s="8052"/>
      <c r="AP127" s="8053"/>
      <c r="AQ127" s="8054"/>
      <c r="AR127" s="8055"/>
      <c r="AS127" s="8056"/>
      <c r="AT127" s="8057"/>
      <c r="AU127" s="8058"/>
      <c r="AV127" s="8059"/>
      <c r="AW127" s="8060"/>
      <c r="AX127" s="8061"/>
      <c r="AY127" s="8062"/>
      <c r="AZ127" s="8063"/>
      <c r="BA127" s="8064"/>
      <c r="BB127" s="8065"/>
      <c r="BC127" s="6989"/>
      <c r="BD127" s="6962"/>
      <c r="BE127" s="6963"/>
      <c r="BF127" s="6963"/>
      <c r="BG127" s="6963"/>
      <c r="BH127" s="6963"/>
      <c r="BI127" s="6964">
        <v>0</v>
      </c>
    </row>
    <row customHeight="1" ht="11.549999999999999">
      <c r="A128" s="1533" t="s">
        <v>249</v>
      </c>
      <c r="B128" s="1533" t="s">
        <v>250</v>
      </c>
      <c r="C128" s="1533" t="s">
        <v>251</v>
      </c>
      <c r="D128" s="1533" t="s">
        <v>517</v>
      </c>
      <c r="E128" s="2429"/>
      <c r="F128" s="2429"/>
      <c r="G128" s="2429"/>
      <c r="H128" s="2429"/>
      <c r="I128" s="2456"/>
      <c r="J128" s="2456"/>
      <c r="K128" s="2426"/>
      <c r="L128" s="1534"/>
      <c r="P128" s="2427"/>
      <c r="Q128" s="2427"/>
      <c r="R128" s="527"/>
      <c r="S128" s="2513"/>
      <c r="T128" s="2532"/>
      <c r="U128" s="470"/>
      <c r="V128" s="1563"/>
      <c r="W128" s="1564" t="str">
        <f>Z52&amp;"-"&amp;AB52</f>
        <v>-</v>
      </c>
      <c r="X128" s="1563"/>
      <c r="Y128" s="1564" t="str">
        <f>AB52&amp;"-"&amp;AD52</f>
        <v>-да</v>
      </c>
      <c r="Z128" s="1563"/>
      <c r="AA128" s="1563"/>
      <c r="AB128" s="1563"/>
      <c r="AC128" s="1563"/>
      <c r="AD128" s="2282"/>
      <c r="AE128" s="482"/>
      <c r="AF128" s="484"/>
      <c r="AG128" s="586" t="s">
        <v>507</v>
      </c>
      <c r="AH128" s="1563"/>
      <c r="AI128" s="1563"/>
      <c r="AJ128" s="1563"/>
      <c r="AK128" s="1563"/>
      <c r="AL128" s="1563"/>
      <c r="AM128" s="1563"/>
      <c r="AN128" s="1563"/>
      <c r="AO128" s="1563"/>
      <c r="AP128" s="1563"/>
      <c r="AQ128" s="1563"/>
      <c r="AR128" s="1563"/>
      <c r="AS128" s="1563"/>
      <c r="AT128" s="1563"/>
      <c r="AU128" s="1564" t="str">
        <f>AX52&amp;"-"&amp;AZ52</f>
        <v>45658-46022</v>
      </c>
      <c r="AV128" s="1563"/>
      <c r="AW128" s="1564" t="str">
        <f>AZ52&amp;"-"&amp;BB52</f>
        <v>46022-</v>
      </c>
      <c r="AX128" s="1563"/>
      <c r="AY128" s="1563"/>
      <c r="AZ128" s="1563"/>
      <c r="BA128" s="1563"/>
      <c r="BB128" s="1566" t="str">
        <f>BE52&amp;"-"&amp;BG52</f>
        <v>-</v>
      </c>
      <c r="BC128" s="2424"/>
      <c r="BE128" s="670"/>
      <c r="BF128" s="670" t="str">
        <f>IF(T128="","",T128)</f>
        <v/>
      </c>
      <c r="BG128" s="670"/>
      <c r="BH128" s="670"/>
      <c r="BI128" s="1325">
        <v>11</v>
      </c>
    </row>
    <row customHeight="1" ht="11.549999999999999">
      <c r="A129" s="1533" t="s">
        <v>249</v>
      </c>
      <c r="B129" s="1533" t="s">
        <v>250</v>
      </c>
      <c r="C129" s="1533" t="s">
        <v>251</v>
      </c>
      <c r="D129" s="1533" t="s">
        <v>517</v>
      </c>
      <c r="E129" s="2429"/>
      <c r="F129" s="2429"/>
      <c r="G129" s="2429"/>
      <c r="H129" s="2429"/>
      <c r="I129" s="2456"/>
      <c r="J129" s="2426"/>
      <c r="K129" s="1533"/>
      <c r="L129" s="1534"/>
      <c r="P129" s="2427"/>
      <c r="Q129" s="2427"/>
      <c r="R129" s="526"/>
      <c r="S129" s="1448"/>
      <c r="T129" s="457" t="s">
        <v>468</v>
      </c>
      <c r="U129" s="537"/>
      <c r="V129" s="537"/>
      <c r="W129" s="537"/>
      <c r="X129" s="537"/>
      <c r="Y129" s="537"/>
      <c r="Z129" s="537"/>
      <c r="AA129" s="537"/>
      <c r="AB129" s="537"/>
      <c r="AC129" s="494"/>
      <c r="AD129" s="1675"/>
      <c r="AE129" s="537"/>
      <c r="AF129" s="537"/>
      <c r="AG129" s="537"/>
      <c r="AH129" s="537"/>
      <c r="AI129" s="537"/>
      <c r="AJ129" s="537"/>
      <c r="AK129" s="537"/>
      <c r="AL129" s="537"/>
      <c r="AM129" s="537"/>
      <c r="AN129" s="537"/>
      <c r="AO129" s="537"/>
      <c r="AP129" s="537"/>
      <c r="AQ129" s="537"/>
      <c r="AR129" s="537"/>
      <c r="AS129" s="537"/>
      <c r="AT129" s="537"/>
      <c r="AU129" s="537"/>
      <c r="AV129" s="537"/>
      <c r="AW129" s="537"/>
      <c r="AX129" s="537"/>
      <c r="AY129" s="537"/>
      <c r="AZ129" s="537"/>
      <c r="BA129" s="537"/>
      <c r="BB129" s="494"/>
      <c r="BC129" s="2425"/>
      <c r="BE129" s="670"/>
      <c r="BF129" s="670" t="str">
        <f>IF(T129="","",T129)</f>
        <v>Добавить строку</v>
      </c>
      <c r="BG129" s="670"/>
      <c r="BH129" s="670"/>
      <c r="BI129" s="1325">
        <v>11</v>
      </c>
    </row>
    <row s="9667" customFormat="1" customHeight="1" ht="0">
      <c r="A130" s="1513" t="s">
        <v>249</v>
      </c>
      <c r="B130" s="1513" t="s">
        <v>250</v>
      </c>
      <c r="C130" s="1513" t="s">
        <v>251</v>
      </c>
      <c r="D130" s="1513" t="s">
        <v>517</v>
      </c>
      <c r="E130" s="2429"/>
      <c r="F130" s="2429"/>
      <c r="G130" s="2429"/>
      <c r="H130" s="2429"/>
      <c r="I130" s="2426"/>
      <c r="J130" s="1513"/>
      <c r="K130" s="1513"/>
      <c r="L130" s="1516"/>
      <c r="M130" s="680"/>
      <c r="N130" s="680"/>
      <c r="O130" s="680"/>
      <c r="P130" s="2427"/>
      <c r="Q130" s="1632"/>
      <c r="R130" s="526"/>
      <c r="S130" s="1556"/>
      <c r="T130" s="1557"/>
      <c r="U130" s="1558"/>
      <c r="V130" s="1558"/>
      <c r="W130" s="1558"/>
      <c r="X130" s="1558"/>
      <c r="Y130" s="1558"/>
      <c r="Z130" s="1558"/>
      <c r="AA130" s="1558"/>
      <c r="AB130" s="1558"/>
      <c r="AC130" s="1558"/>
      <c r="AD130" s="1558"/>
      <c r="AE130" s="1558"/>
      <c r="AF130" s="1558"/>
      <c r="AG130" s="1558"/>
      <c r="AH130" s="1558"/>
      <c r="AI130" s="1558"/>
      <c r="AJ130" s="1558"/>
      <c r="AK130" s="1558"/>
      <c r="AL130" s="1558"/>
      <c r="AM130" s="1558"/>
      <c r="AN130" s="1558"/>
      <c r="AO130" s="1558"/>
      <c r="AP130" s="1558"/>
      <c r="AQ130" s="1558"/>
      <c r="AR130" s="1558"/>
      <c r="AS130" s="1558"/>
      <c r="AT130" s="1558"/>
      <c r="AU130" s="1558"/>
      <c r="AV130" s="1558"/>
      <c r="AW130" s="1558"/>
      <c r="AX130" s="1558"/>
      <c r="AY130" s="1558"/>
      <c r="AZ130" s="1558"/>
      <c r="BA130" s="1558"/>
      <c r="BB130" s="1558"/>
      <c r="BC130" s="1559"/>
      <c r="BE130" s="670"/>
      <c r="BF130" s="670" t="str">
        <f>IF(T130="","",T130)</f>
        <v/>
      </c>
      <c r="BG130" s="670"/>
      <c r="BH130" s="670"/>
      <c r="BI130" s="681">
        <v>0</v>
      </c>
    </row>
    <row s="9667" customFormat="1" customHeight="1" ht="0">
      <c r="A131" s="1513" t="s">
        <v>249</v>
      </c>
      <c r="B131" s="1513" t="s">
        <v>250</v>
      </c>
      <c r="C131" s="1513" t="s">
        <v>251</v>
      </c>
      <c r="D131" s="1513" t="s">
        <v>517</v>
      </c>
      <c r="E131" s="2429"/>
      <c r="F131" s="2429"/>
      <c r="G131" s="2429"/>
      <c r="H131" s="2428"/>
      <c r="I131" s="1513"/>
      <c r="J131" s="1513"/>
      <c r="K131" s="1513"/>
      <c r="L131" s="1516"/>
      <c r="M131" s="1485"/>
      <c r="N131" s="1485"/>
      <c r="O131" s="688"/>
      <c r="P131" s="550"/>
      <c r="Q131" s="1514"/>
      <c r="R131" s="1571"/>
      <c r="S131" s="1556"/>
      <c r="T131" s="1557"/>
      <c r="U131" s="1558"/>
      <c r="V131" s="1558"/>
      <c r="W131" s="1558"/>
      <c r="X131" s="1558"/>
      <c r="Y131" s="1558"/>
      <c r="Z131" s="1558"/>
      <c r="AA131" s="1558"/>
      <c r="AB131" s="1558"/>
      <c r="AC131" s="1558"/>
      <c r="AD131" s="1558"/>
      <c r="AE131" s="1558"/>
      <c r="AF131" s="1558"/>
      <c r="AG131" s="1558"/>
      <c r="AH131" s="1558"/>
      <c r="AI131" s="1558"/>
      <c r="AJ131" s="1558"/>
      <c r="AK131" s="1558"/>
      <c r="AL131" s="1558"/>
      <c r="AM131" s="1558"/>
      <c r="AN131" s="1558"/>
      <c r="AO131" s="1558"/>
      <c r="AP131" s="1558"/>
      <c r="AQ131" s="1558"/>
      <c r="AR131" s="1558"/>
      <c r="AS131" s="1558"/>
      <c r="AT131" s="1558"/>
      <c r="AU131" s="1558"/>
      <c r="AV131" s="1558"/>
      <c r="AW131" s="1558"/>
      <c r="AX131" s="1558"/>
      <c r="AY131" s="1558"/>
      <c r="AZ131" s="1558"/>
      <c r="BA131" s="1558"/>
      <c r="BB131" s="1558"/>
      <c r="BC131" s="1559"/>
      <c r="BE131" s="670"/>
      <c r="BF131" s="670" t="str">
        <f>IF(T131="","",T131)</f>
        <v/>
      </c>
      <c r="BG131" s="670"/>
      <c r="BH131" s="670"/>
      <c r="BI131" s="681">
        <v>0</v>
      </c>
    </row>
    <row s="9667" customFormat="1" customHeight="1" ht="0">
      <c r="A132" s="1513" t="s">
        <v>249</v>
      </c>
      <c r="B132" s="1513" t="s">
        <v>250</v>
      </c>
      <c r="C132" s="1513" t="s">
        <v>251</v>
      </c>
      <c r="D132" s="1484"/>
      <c r="E132" s="2429"/>
      <c r="F132" s="2429"/>
      <c r="G132" s="2428"/>
      <c r="H132" s="1484"/>
      <c r="I132" s="1484"/>
      <c r="J132" s="1484"/>
      <c r="K132" s="1484"/>
      <c r="L132" s="1634"/>
      <c r="M132" s="1485"/>
      <c r="N132" s="1485"/>
      <c r="P132" s="1486"/>
      <c r="Q132" s="1487"/>
      <c r="R132" s="1486"/>
      <c r="S132" s="1492"/>
      <c r="T132" s="1495"/>
      <c r="U132" s="1494"/>
      <c r="V132" s="1494"/>
      <c r="W132" s="1494"/>
      <c r="X132" s="1494"/>
      <c r="Y132" s="1494"/>
      <c r="Z132" s="1494"/>
      <c r="AA132" s="1494"/>
      <c r="AB132" s="1494"/>
      <c r="AC132" s="1494"/>
      <c r="AD132" s="1494"/>
      <c r="AE132" s="1494"/>
      <c r="AF132" s="1494"/>
      <c r="AG132" s="1494"/>
      <c r="AH132" s="1494"/>
      <c r="AI132" s="1494"/>
      <c r="AJ132" s="1494"/>
      <c r="AK132" s="1494"/>
      <c r="AL132" s="1494"/>
      <c r="AM132" s="1494"/>
      <c r="AN132" s="1494"/>
      <c r="AO132" s="1494"/>
      <c r="AP132" s="1494"/>
      <c r="AQ132" s="1494"/>
      <c r="AR132" s="1494"/>
      <c r="AS132" s="1494"/>
      <c r="AT132" s="1494"/>
      <c r="AU132" s="1494"/>
      <c r="AV132" s="1494"/>
      <c r="AW132" s="1494"/>
      <c r="AX132" s="1494"/>
      <c r="AY132" s="1494"/>
      <c r="AZ132" s="1494"/>
      <c r="BA132" s="1494"/>
      <c r="BB132" s="1494"/>
      <c r="BC132" s="1494"/>
      <c r="BE132" s="959"/>
      <c r="BF132" s="959" t="str">
        <f>IF(T132="","",T132)</f>
        <v/>
      </c>
      <c r="BG132" s="959"/>
      <c r="BH132" s="959"/>
      <c r="BI132" s="688">
        <v>0</v>
      </c>
    </row>
    <row s="9667" customFormat="1" customHeight="1" ht="0">
      <c r="A133" s="1513" t="s">
        <v>249</v>
      </c>
      <c r="B133" s="1513" t="s">
        <v>250</v>
      </c>
      <c r="C133" s="1484"/>
      <c r="D133" s="1484"/>
      <c r="E133" s="2429"/>
      <c r="F133" s="2428"/>
      <c r="G133" s="1484"/>
      <c r="H133" s="1484"/>
      <c r="I133" s="1484"/>
      <c r="J133" s="1484"/>
      <c r="K133" s="1484"/>
      <c r="L133" s="1634"/>
      <c r="M133" s="1491"/>
      <c r="N133" s="1491"/>
      <c r="P133" s="1486"/>
      <c r="Q133" s="1487"/>
      <c r="R133" s="1486"/>
      <c r="S133" s="1492"/>
      <c r="T133" s="1495" t="s">
        <v>228</v>
      </c>
      <c r="U133" s="1494"/>
      <c r="V133" s="1494"/>
      <c r="W133" s="1494"/>
      <c r="X133" s="1494"/>
      <c r="Y133" s="1494"/>
      <c r="Z133" s="1494"/>
      <c r="AA133" s="1494"/>
      <c r="AB133" s="1494"/>
      <c r="AC133" s="1494"/>
      <c r="AD133" s="1494"/>
      <c r="AE133" s="1494"/>
      <c r="AF133" s="1494"/>
      <c r="AG133" s="1494"/>
      <c r="AH133" s="1494"/>
      <c r="AI133" s="1494"/>
      <c r="AJ133" s="1494"/>
      <c r="AK133" s="1494"/>
      <c r="AL133" s="1494"/>
      <c r="AM133" s="1494"/>
      <c r="AN133" s="1494"/>
      <c r="AO133" s="1494"/>
      <c r="AP133" s="1494"/>
      <c r="AQ133" s="1494"/>
      <c r="AR133" s="1494"/>
      <c r="AS133" s="1494"/>
      <c r="AT133" s="1494"/>
      <c r="AU133" s="1494"/>
      <c r="AV133" s="1494"/>
      <c r="AW133" s="1494"/>
      <c r="AX133" s="1494"/>
      <c r="AY133" s="1494"/>
      <c r="AZ133" s="1494"/>
      <c r="BA133" s="1494"/>
      <c r="BB133" s="1494"/>
      <c r="BC133" s="1494"/>
      <c r="BE133" s="959"/>
      <c r="BF133" s="959" t="str">
        <f>IF(T133="","",T133)</f>
        <v>Добавить централизованную систему для дифференциации</v>
      </c>
      <c r="BG133" s="959"/>
      <c r="BH133" s="959"/>
      <c r="BI133" s="688">
        <v>0</v>
      </c>
    </row>
    <row s="9667" customFormat="1" customHeight="1" ht="0">
      <c r="A134" s="1513" t="s">
        <v>249</v>
      </c>
      <c r="B134" s="1513"/>
      <c r="C134" s="1513"/>
      <c r="D134" s="1513"/>
      <c r="E134" s="2428"/>
      <c r="F134" s="1513"/>
      <c r="G134" s="1513"/>
      <c r="H134" s="1513"/>
      <c r="I134" s="1513"/>
      <c r="J134" s="1513"/>
      <c r="K134" s="1513"/>
      <c r="L134" s="1516"/>
      <c r="M134" s="1491"/>
      <c r="N134" s="1491"/>
      <c r="O134" s="688"/>
      <c r="P134" s="550"/>
      <c r="Q134" s="1514"/>
      <c r="R134" s="550"/>
      <c r="S134" s="1492"/>
      <c r="T134" s="1495" t="s">
        <v>229</v>
      </c>
      <c r="U134" s="1494"/>
      <c r="V134" s="1494"/>
      <c r="W134" s="1494"/>
      <c r="X134" s="1494"/>
      <c r="Y134" s="1494"/>
      <c r="Z134" s="1494"/>
      <c r="AA134" s="1494"/>
      <c r="AB134" s="1494"/>
      <c r="AC134" s="1494"/>
      <c r="AD134" s="1494"/>
      <c r="AE134" s="1494"/>
      <c r="AF134" s="1494"/>
      <c r="AG134" s="1494"/>
      <c r="AH134" s="1494"/>
      <c r="AI134" s="1494"/>
      <c r="AJ134" s="1494"/>
      <c r="AK134" s="1494"/>
      <c r="AL134" s="1494"/>
      <c r="AM134" s="1494"/>
      <c r="AN134" s="1494"/>
      <c r="AO134" s="1494"/>
      <c r="AP134" s="1494"/>
      <c r="AQ134" s="1494"/>
      <c r="AR134" s="1494"/>
      <c r="AS134" s="1494"/>
      <c r="AT134" s="1494"/>
      <c r="AU134" s="1494"/>
      <c r="AV134" s="1494"/>
      <c r="AW134" s="1494"/>
      <c r="AX134" s="1494"/>
      <c r="AY134" s="1494"/>
      <c r="AZ134" s="1494"/>
      <c r="BA134" s="1494"/>
      <c r="BB134" s="1494"/>
      <c r="BC134" s="1494"/>
      <c r="BE134" s="670"/>
      <c r="BF134" s="670" t="str">
        <f>IF(T134="","",T134)</f>
        <v>Добавить территорию для дифференциации</v>
      </c>
      <c r="BG134" s="670"/>
      <c r="BH134" s="670"/>
      <c r="BI134" s="681">
        <v>0</v>
      </c>
    </row>
    <row s="9667" customFormat="1" customHeight="1" ht="0">
      <c r="A135" s="1484"/>
      <c r="B135" s="1484"/>
      <c r="C135" s="1484"/>
      <c r="D135" s="1484"/>
      <c r="E135" s="1513"/>
      <c r="F135" s="1484"/>
      <c r="G135" s="1484"/>
      <c r="H135" s="1484"/>
      <c r="I135" s="1484"/>
      <c r="J135" s="1484"/>
      <c r="K135" s="1484"/>
      <c r="L135" s="1634"/>
      <c r="M135" s="1491"/>
      <c r="N135" s="1491"/>
      <c r="P135" s="1486"/>
      <c r="Q135" s="1487"/>
      <c r="R135" s="1486"/>
      <c r="S135" s="1492"/>
      <c r="T135" s="1495" t="s">
        <v>230</v>
      </c>
      <c r="U135" s="1494"/>
      <c r="V135" s="1494"/>
      <c r="W135" s="1494"/>
      <c r="X135" s="1494"/>
      <c r="Y135" s="1494"/>
      <c r="Z135" s="1494"/>
      <c r="AA135" s="1494"/>
      <c r="AB135" s="1494"/>
      <c r="AC135" s="1494"/>
      <c r="AD135" s="1494"/>
      <c r="AE135" s="1494"/>
      <c r="AF135" s="1494"/>
      <c r="AG135" s="1494"/>
      <c r="AH135" s="1494"/>
      <c r="AI135" s="1494"/>
      <c r="AJ135" s="1494"/>
      <c r="AK135" s="1494"/>
      <c r="AL135" s="1494"/>
      <c r="AM135" s="1494"/>
      <c r="AN135" s="1494"/>
      <c r="AO135" s="1494"/>
      <c r="AP135" s="1494"/>
      <c r="AQ135" s="1494"/>
      <c r="AR135" s="1494"/>
      <c r="AS135" s="1494"/>
      <c r="AT135" s="1494"/>
      <c r="AU135" s="1494"/>
      <c r="AV135" s="1494"/>
      <c r="AW135" s="1494"/>
      <c r="AX135" s="1494"/>
      <c r="AY135" s="1494"/>
      <c r="AZ135" s="1494"/>
      <c r="BA135" s="1494"/>
      <c r="BB135" s="1494"/>
      <c r="BC135" s="1494"/>
      <c r="BE135" s="959"/>
      <c r="BF135" s="959" t="str">
        <f>IF(T135="","",T135)</f>
        <v>Добавить наименование тарифа</v>
      </c>
      <c r="BG135" s="959"/>
      <c r="BH135" s="959"/>
      <c r="BI135" s="688">
        <v>0</v>
      </c>
    </row>
    <row customHeight="1" ht="11.549999999999999">
      <c r="M136" s="1330"/>
      <c r="N136" s="1330"/>
      <c r="O136" s="707"/>
      <c r="P136" s="1330"/>
      <c r="Q136" s="1330"/>
      <c r="R136" s="1325"/>
      <c r="S136" s="1325"/>
      <c r="BD136" s="1325"/>
      <c r="BE136" s="1325"/>
      <c r="BF136" s="1325"/>
      <c r="BG136" s="1325"/>
      <c r="BH136" s="1325"/>
      <c r="BI136" s="1325">
        <v>11</v>
      </c>
    </row>
    <row customHeight="1" ht="19.95">
      <c r="O137" s="707"/>
      <c r="S137" s="1423"/>
      <c r="T137" s="2455"/>
      <c r="U137" s="2455"/>
      <c r="V137" s="2455"/>
      <c r="W137" s="2455"/>
      <c r="X137" s="2455"/>
      <c r="Y137" s="2455"/>
      <c r="Z137" s="2455"/>
      <c r="AA137" s="2455"/>
      <c r="AB137" s="2455"/>
      <c r="AC137" s="2455"/>
      <c r="AD137" s="2455"/>
      <c r="AE137" s="2455"/>
      <c r="AF137" s="2455"/>
      <c r="AG137" s="2455"/>
      <c r="AH137" s="2455"/>
      <c r="AI137" s="2455"/>
      <c r="AJ137" s="2455"/>
      <c r="AK137" s="2455"/>
      <c r="AL137" s="2455"/>
      <c r="AM137" s="2455"/>
      <c r="AN137" s="2455"/>
      <c r="AO137" s="2455"/>
      <c r="AP137" s="2455"/>
      <c r="AQ137" s="2455"/>
      <c r="AR137" s="2455"/>
      <c r="AS137" s="2455"/>
      <c r="AT137" s="2455"/>
      <c r="AU137" s="2455"/>
      <c r="AV137" s="2455"/>
      <c r="AW137" s="2455"/>
      <c r="AX137" s="2455"/>
      <c r="AY137" s="2455"/>
      <c r="AZ137" s="2455"/>
      <c r="BA137" s="2455"/>
      <c r="BB137" s="2455"/>
      <c r="BC137" s="2455"/>
      <c r="BI137" s="1325">
        <v>19</v>
      </c>
    </row>
    <row customHeight="1" ht="14.699999999999998">
      <c r="O138" s="707"/>
      <c r="T138" s="1619"/>
      <c r="U138" s="1619"/>
      <c r="V138" s="1619"/>
      <c r="W138" s="1619"/>
      <c r="X138" s="1619"/>
      <c r="Y138" s="1619"/>
      <c r="Z138" s="1619"/>
      <c r="AA138" s="1619"/>
      <c r="AB138" s="1619"/>
      <c r="AC138" s="1619"/>
      <c r="AD138" s="1619"/>
      <c r="AE138" s="1619"/>
      <c r="AF138" s="1619"/>
      <c r="AG138" s="1619"/>
      <c r="AH138" s="1619"/>
      <c r="AI138" s="1619"/>
      <c r="AJ138" s="1619"/>
      <c r="AK138" s="1619"/>
      <c r="AL138" s="1619"/>
      <c r="AM138" s="1619"/>
      <c r="AN138" s="1619"/>
      <c r="AO138" s="1619"/>
      <c r="AP138" s="1619"/>
      <c r="AQ138" s="1619"/>
      <c r="AR138" s="1619"/>
      <c r="AS138" s="1619"/>
      <c r="AT138" s="1619"/>
      <c r="AU138" s="1619"/>
      <c r="AV138" s="1619"/>
      <c r="AW138" s="1619"/>
      <c r="AX138" s="1619"/>
      <c r="AY138" s="1619"/>
      <c r="AZ138" s="1619"/>
      <c r="BA138" s="1619"/>
      <c r="BB138" s="1619"/>
      <c r="BC138" s="1619"/>
      <c r="BI138" s="1325">
        <v>14</v>
      </c>
    </row>
    <row customHeight="1" ht="19.95">
      <c r="O139" s="707"/>
      <c r="S139" s="1423"/>
      <c r="T139" s="2455"/>
      <c r="U139" s="2455"/>
      <c r="V139" s="2455"/>
      <c r="W139" s="2455"/>
      <c r="X139" s="2455"/>
      <c r="Y139" s="2455"/>
      <c r="Z139" s="2455"/>
      <c r="AA139" s="2455"/>
      <c r="AB139" s="2455"/>
      <c r="AC139" s="2455"/>
      <c r="AD139" s="2455"/>
      <c r="AE139" s="2455"/>
      <c r="AF139" s="2455"/>
      <c r="AG139" s="2455"/>
      <c r="AH139" s="2455"/>
      <c r="AI139" s="2455"/>
      <c r="AJ139" s="2455"/>
      <c r="AK139" s="2455"/>
      <c r="AL139" s="2455"/>
      <c r="AM139" s="2455"/>
      <c r="AN139" s="2455"/>
      <c r="AO139" s="2455"/>
      <c r="AP139" s="2455"/>
      <c r="AQ139" s="2455"/>
      <c r="AR139" s="2455"/>
      <c r="AS139" s="2455"/>
      <c r="AT139" s="2455"/>
      <c r="AU139" s="2455"/>
      <c r="AV139" s="2455"/>
      <c r="AW139" s="2455"/>
      <c r="AX139" s="2455"/>
      <c r="AY139" s="2455"/>
      <c r="AZ139" s="2455"/>
      <c r="BA139" s="2455"/>
      <c r="BB139" s="2455"/>
      <c r="BC139" s="2455"/>
      <c r="BI139" s="1325">
        <v>19</v>
      </c>
    </row>
    <row customHeight="1" ht="14.699999999999998">
      <c r="O140" s="707"/>
      <c r="BI140" s="1325">
        <v>14</v>
      </c>
    </row>
    <row customHeight="1" ht="14.25" hidden="1">
      <c r="A141" s="1330" t="s">
        <v>81</v>
      </c>
      <c r="B141" s="1330">
        <v>0</v>
      </c>
      <c r="C141" s="1330">
        <v>0</v>
      </c>
      <c r="D141" s="1330">
        <v>0</v>
      </c>
      <c r="E141" s="1330">
        <v>0</v>
      </c>
      <c r="F141" s="1330">
        <v>0</v>
      </c>
      <c r="G141" s="1330">
        <v>0</v>
      </c>
      <c r="H141" s="1330">
        <v>0</v>
      </c>
      <c r="I141" s="1330">
        <v>0</v>
      </c>
      <c r="J141" s="1330">
        <v>0</v>
      </c>
      <c r="K141" s="1330">
        <v>0</v>
      </c>
      <c r="L141" s="1631">
        <v>0</v>
      </c>
      <c r="M141" s="1532">
        <v>0</v>
      </c>
      <c r="N141" s="1532">
        <v>0</v>
      </c>
      <c r="O141" s="1532">
        <v>0</v>
      </c>
      <c r="P141" s="1532">
        <v>0</v>
      </c>
      <c r="Q141" s="1541">
        <v>0</v>
      </c>
      <c r="R141" s="514">
        <v>3</v>
      </c>
      <c r="S141" s="751">
        <v>12</v>
      </c>
      <c r="T141" s="1325">
        <v>31</v>
      </c>
      <c r="U141" s="1325">
        <v>0</v>
      </c>
      <c r="V141" s="1325">
        <v>0</v>
      </c>
      <c r="W141" s="1325">
        <v>0</v>
      </c>
      <c r="X141" s="1325">
        <v>0</v>
      </c>
      <c r="Y141" s="1325">
        <v>0</v>
      </c>
      <c r="Z141" s="1325">
        <v>0</v>
      </c>
      <c r="AA141" s="1325">
        <v>0</v>
      </c>
      <c r="AB141" s="1325">
        <v>0</v>
      </c>
      <c r="AC141" s="1325">
        <v>0</v>
      </c>
      <c r="AD141" s="1325">
        <v>3</v>
      </c>
      <c r="AE141" s="1325">
        <v>3</v>
      </c>
      <c r="AF141" s="1325">
        <v>3</v>
      </c>
      <c r="AG141" s="1325">
        <v>24</v>
      </c>
      <c r="AH141" s="1325">
        <v>3</v>
      </c>
      <c r="AI141" s="1325">
        <v>3</v>
      </c>
      <c r="AJ141" s="1325">
        <v>3</v>
      </c>
      <c r="AK141" s="1325">
        <v>24</v>
      </c>
      <c r="AL141" s="1325">
        <v>3</v>
      </c>
      <c r="AM141" s="1325">
        <v>3</v>
      </c>
      <c r="AN141" s="1325">
        <v>3</v>
      </c>
      <c r="AO141" s="1325">
        <v>18</v>
      </c>
      <c r="AP141" s="1325">
        <v>3</v>
      </c>
      <c r="AQ141" s="1325">
        <v>3</v>
      </c>
      <c r="AR141" s="1325">
        <v>3</v>
      </c>
      <c r="AS141" s="1325">
        <v>18</v>
      </c>
      <c r="AT141" s="1325">
        <v>21</v>
      </c>
      <c r="AU141" s="1325">
        <v>21</v>
      </c>
      <c r="AV141" s="1325">
        <v>21</v>
      </c>
      <c r="AW141" s="1325">
        <v>21</v>
      </c>
      <c r="AX141" s="1325">
        <v>11</v>
      </c>
      <c r="AY141" s="1325">
        <v>3</v>
      </c>
      <c r="AZ141" s="1325">
        <v>11</v>
      </c>
      <c r="BA141" s="1325">
        <v>0</v>
      </c>
      <c r="BB141" s="1325">
        <v>4</v>
      </c>
      <c r="BC141" s="1325">
        <v>115</v>
      </c>
      <c r="BD141" s="681">
        <v>10</v>
      </c>
      <c r="BE141" s="681">
        <v>10</v>
      </c>
      <c r="BF141" s="681">
        <v>10</v>
      </c>
      <c r="BG141" s="681">
        <v>10</v>
      </c>
      <c r="BH141" s="681">
        <v>10</v>
      </c>
      <c r="BI141" s="1325">
        <v>23</v>
      </c>
    </row>
  </sheetData>
  <sheetProtection formatColumns="0" formatRows="0" autoFilter="0" sort="0" insertRows="0" insertColumns="1" deleteRows="0" deleteColumns="0"/>
  <mergeCells count="319">
    <mergeCell ref="T139:BC139"/>
    <mergeCell ref="AK52:AK54"/>
    <mergeCell ref="AL52:AL54"/>
    <mergeCell ref="AE52:AE70"/>
    <mergeCell ref="AF52:AF70"/>
    <mergeCell ref="AG52:AG70"/>
    <mergeCell ref="AH52:AH70"/>
    <mergeCell ref="AI52:AI54"/>
    <mergeCell ref="AJ52:AJ54"/>
    <mergeCell ref="BC52:BC129"/>
    <mergeCell ref="T52:T128"/>
    <mergeCell ref="T137:BC137"/>
    <mergeCell ref="E46:E134"/>
    <mergeCell ref="V46:AC46"/>
    <mergeCell ref="AD46:BB46"/>
    <mergeCell ref="F47:F133"/>
    <mergeCell ref="V47:AC47"/>
    <mergeCell ref="AM52:AM53"/>
    <mergeCell ref="AN52:AN53"/>
    <mergeCell ref="AO52:AO53"/>
    <mergeCell ref="AP52:AP53"/>
    <mergeCell ref="AD52:AD128"/>
    <mergeCell ref="G48:G132"/>
    <mergeCell ref="V48:AC48"/>
    <mergeCell ref="AD48:BB48"/>
    <mergeCell ref="H49:H131"/>
    <mergeCell ref="V49:AC49"/>
    <mergeCell ref="AD49:BB49"/>
    <mergeCell ref="AD47:BB47"/>
    <mergeCell ref="I50:I130"/>
    <mergeCell ref="P50:P130"/>
    <mergeCell ref="V50:AC50"/>
    <mergeCell ref="J51:J129"/>
    <mergeCell ref="Q51:Q129"/>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128"/>
    <mergeCell ref="S52:S128"/>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5:R128"/>
    <mergeCell ref="AI55:AI57"/>
    <mergeCell ref="AJ55:AJ57"/>
    <mergeCell ref="AK55:AK57"/>
    <mergeCell ref="AL55:AL57"/>
    <mergeCell ref="AM55:AM56"/>
    <mergeCell ref="AN55:AN56"/>
    <mergeCell ref="AO55:AO56"/>
    <mergeCell ref="AP55:AP56"/>
    <mergeCell ref="AI58:AI60"/>
    <mergeCell ref="AJ58:AJ60"/>
    <mergeCell ref="AK58:AK60"/>
    <mergeCell ref="AL58:AL60"/>
    <mergeCell ref="AM58:AM59"/>
    <mergeCell ref="AN58:AN59"/>
    <mergeCell ref="AO58:AO59"/>
    <mergeCell ref="AP58:AP59"/>
    <mergeCell ref="AI61:AI63"/>
    <mergeCell ref="AJ61:AJ63"/>
    <mergeCell ref="AK61:AK63"/>
    <mergeCell ref="AL61:AL63"/>
    <mergeCell ref="AM61:AM62"/>
    <mergeCell ref="AN61:AN62"/>
    <mergeCell ref="AO61:AO62"/>
    <mergeCell ref="AP61:AP62"/>
    <mergeCell ref="AI64:AI66"/>
    <mergeCell ref="AJ64:AJ66"/>
    <mergeCell ref="AK64:AK66"/>
    <mergeCell ref="AL64:AL66"/>
    <mergeCell ref="AM64:AM65"/>
    <mergeCell ref="AN64:AN65"/>
    <mergeCell ref="AO64:AO65"/>
    <mergeCell ref="AP64:AP65"/>
    <mergeCell ref="AI67:AI69"/>
    <mergeCell ref="AJ67:AJ69"/>
    <mergeCell ref="AK67:AK69"/>
    <mergeCell ref="AL67:AL69"/>
    <mergeCell ref="AM67:AM68"/>
    <mergeCell ref="AN67:AN68"/>
    <mergeCell ref="AO67:AO68"/>
    <mergeCell ref="AP67:AP68"/>
    <mergeCell ref="AE71:AE89"/>
    <mergeCell ref="AF71:AF89"/>
    <mergeCell ref="AG71:AG89"/>
    <mergeCell ref="AH71:AH89"/>
    <mergeCell ref="AI71:AI73"/>
    <mergeCell ref="AJ71:AJ73"/>
    <mergeCell ref="AK71:AK73"/>
    <mergeCell ref="AL71:AL73"/>
    <mergeCell ref="AM71:AM72"/>
    <mergeCell ref="AN71:AN72"/>
    <mergeCell ref="AO71:AO72"/>
    <mergeCell ref="AP71:AP72"/>
    <mergeCell ref="AI74:AI76"/>
    <mergeCell ref="AJ74:AJ76"/>
    <mergeCell ref="AK74:AK76"/>
    <mergeCell ref="AL74:AL76"/>
    <mergeCell ref="AM74:AM75"/>
    <mergeCell ref="AN74:AN75"/>
    <mergeCell ref="AO74:AO75"/>
    <mergeCell ref="AP74:AP75"/>
    <mergeCell ref="AI77:AI79"/>
    <mergeCell ref="AJ77:AJ79"/>
    <mergeCell ref="AK77:AK79"/>
    <mergeCell ref="AL77:AL79"/>
    <mergeCell ref="AM77:AM78"/>
    <mergeCell ref="AN77:AN78"/>
    <mergeCell ref="AO77:AO78"/>
    <mergeCell ref="AP77:AP78"/>
    <mergeCell ref="AI80:AI82"/>
    <mergeCell ref="AJ80:AJ82"/>
    <mergeCell ref="AK80:AK82"/>
    <mergeCell ref="AL80:AL82"/>
    <mergeCell ref="AM80:AM81"/>
    <mergeCell ref="AN80:AN81"/>
    <mergeCell ref="AO80:AO81"/>
    <mergeCell ref="AP80:AP81"/>
    <mergeCell ref="AI83:AI85"/>
    <mergeCell ref="AJ83:AJ85"/>
    <mergeCell ref="AK83:AK85"/>
    <mergeCell ref="AL83:AL85"/>
    <mergeCell ref="AM83:AM84"/>
    <mergeCell ref="AN83:AN84"/>
    <mergeCell ref="AO83:AO84"/>
    <mergeCell ref="AP83:AP84"/>
    <mergeCell ref="AI86:AI88"/>
    <mergeCell ref="AJ86:AJ88"/>
    <mergeCell ref="AK86:AK88"/>
    <mergeCell ref="AL86:AL88"/>
    <mergeCell ref="AM86:AM87"/>
    <mergeCell ref="AN86:AN87"/>
    <mergeCell ref="AO86:AO87"/>
    <mergeCell ref="AP86:AP87"/>
    <mergeCell ref="AE90:AE108"/>
    <mergeCell ref="AF90:AF108"/>
    <mergeCell ref="AG90:AG108"/>
    <mergeCell ref="AH90:AH108"/>
    <mergeCell ref="AI90:AI92"/>
    <mergeCell ref="AJ90:AJ92"/>
    <mergeCell ref="AK90:AK92"/>
    <mergeCell ref="AL90:AL92"/>
    <mergeCell ref="AM90:AM91"/>
    <mergeCell ref="AN90:AN91"/>
    <mergeCell ref="AO90:AO91"/>
    <mergeCell ref="AP90:AP91"/>
    <mergeCell ref="AI93:AI95"/>
    <mergeCell ref="AJ93:AJ95"/>
    <mergeCell ref="AK93:AK95"/>
    <mergeCell ref="AL93:AL95"/>
    <mergeCell ref="AM93:AM94"/>
    <mergeCell ref="AN93:AN94"/>
    <mergeCell ref="AO93:AO94"/>
    <mergeCell ref="AP93:AP94"/>
    <mergeCell ref="AI96:AI98"/>
    <mergeCell ref="AJ96:AJ98"/>
    <mergeCell ref="AK96:AK98"/>
    <mergeCell ref="AL96:AL98"/>
    <mergeCell ref="AM96:AM97"/>
    <mergeCell ref="AN96:AN97"/>
    <mergeCell ref="AO96:AO97"/>
    <mergeCell ref="AP96:AP97"/>
    <mergeCell ref="AI99:AI101"/>
    <mergeCell ref="AJ99:AJ101"/>
    <mergeCell ref="AK99:AK101"/>
    <mergeCell ref="AL99:AL101"/>
    <mergeCell ref="AM99:AM100"/>
    <mergeCell ref="AN99:AN100"/>
    <mergeCell ref="AO99:AO100"/>
    <mergeCell ref="AP99:AP100"/>
    <mergeCell ref="AI102:AI104"/>
    <mergeCell ref="AJ102:AJ104"/>
    <mergeCell ref="AK102:AK104"/>
    <mergeCell ref="AL102:AL104"/>
    <mergeCell ref="AM102:AM103"/>
    <mergeCell ref="AN102:AN103"/>
    <mergeCell ref="AO102:AO103"/>
    <mergeCell ref="AP102:AP103"/>
    <mergeCell ref="AI105:AI107"/>
    <mergeCell ref="AJ105:AJ107"/>
    <mergeCell ref="AK105:AK107"/>
    <mergeCell ref="AL105:AL107"/>
    <mergeCell ref="AM105:AM106"/>
    <mergeCell ref="AN105:AN106"/>
    <mergeCell ref="AO105:AO106"/>
    <mergeCell ref="AP105:AP106"/>
    <mergeCell ref="AE109:AE127"/>
    <mergeCell ref="AF109:AF127"/>
    <mergeCell ref="AG109:AG127"/>
    <mergeCell ref="AH109:AH127"/>
    <mergeCell ref="AI109:AI111"/>
    <mergeCell ref="AJ109:AJ111"/>
    <mergeCell ref="AK109:AK111"/>
    <mergeCell ref="AL109:AL111"/>
    <mergeCell ref="AM109:AM110"/>
    <mergeCell ref="AN109:AN110"/>
    <mergeCell ref="AO109:AO110"/>
    <mergeCell ref="AP109:AP110"/>
    <mergeCell ref="AI112:AI114"/>
    <mergeCell ref="AJ112:AJ114"/>
    <mergeCell ref="AK112:AK114"/>
    <mergeCell ref="AL112:AL114"/>
    <mergeCell ref="AM112:AM113"/>
    <mergeCell ref="AN112:AN113"/>
    <mergeCell ref="AO112:AO113"/>
    <mergeCell ref="AP112:AP113"/>
    <mergeCell ref="AI115:AI117"/>
    <mergeCell ref="AJ115:AJ117"/>
    <mergeCell ref="AK115:AK117"/>
    <mergeCell ref="AL115:AL117"/>
    <mergeCell ref="AM115:AM116"/>
    <mergeCell ref="AN115:AN116"/>
    <mergeCell ref="AO115:AO116"/>
    <mergeCell ref="AP115:AP116"/>
    <mergeCell ref="AI118:AI120"/>
    <mergeCell ref="AJ118:AJ120"/>
    <mergeCell ref="AK118:AK120"/>
    <mergeCell ref="AL118:AL120"/>
    <mergeCell ref="AM118:AM119"/>
    <mergeCell ref="AN118:AN119"/>
    <mergeCell ref="AO118:AO119"/>
    <mergeCell ref="AP118:AP119"/>
    <mergeCell ref="AI121:AI123"/>
    <mergeCell ref="AJ121:AJ123"/>
    <mergeCell ref="AK121:AK123"/>
    <mergeCell ref="AL121:AL123"/>
    <mergeCell ref="AM121:AM122"/>
    <mergeCell ref="AN121:AN122"/>
    <mergeCell ref="AO121:AO122"/>
    <mergeCell ref="AP121:AP122"/>
    <mergeCell ref="AI124:AI126"/>
    <mergeCell ref="AJ124:AJ126"/>
    <mergeCell ref="AK124:AK126"/>
    <mergeCell ref="AL124:AL126"/>
    <mergeCell ref="AM124:AM125"/>
    <mergeCell ref="AN124:AN125"/>
    <mergeCell ref="AO124:AO125"/>
    <mergeCell ref="AP124:AP125"/>
  </mergeCells>
  <dataValidations count="9">
    <dataValidation type="list" allowBlank="1" showInputMessage="1" showErrorMessage="1" errorTitle="Ошибка" error="Выберите значение из списка" sqref="T65661 T131197 T196733 T262269 T327805 T393341 T458877 T524413 T589949 T655485 T721021 T786557 T852093 T917629 T983165">
      <formula1>kind_of_heat_transfer</formula1>
    </dataValidation>
    <dataValidation type="list" allowBlank="1" showInputMessage="1" showErrorMessage="1" errorTitle="Ошибка" error="Выберите значение из списка" sqref="AD917627:AS917627 AD983163:AS983163 AD65659:AS65659 AD131195:AS131195 AD196731:AS196731 AD262267:AS262267 AD327803:AS327803 AD393339:AS393339 AD458875:AS458875 AD524411:AS524411 AD589947:AS589947 AD655483:AS655483 AD721019:AS721019 AD786555:AS786555 AD852091:AS852091">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61 Z131197 Z196733 Z262269 Z327805 Z393341 Z458877 Z524413 Z589949 Z655485 Z721021 Z786557 Z852093 Z917629 Z983165 AB65661 AB131197 AB196733 AB262269 AB327805 AB393341 AB458877 AB524413 AB589949 AB655485 AB721021 AB786557 AB852093 AB917629 AB983165 Z8 AB8 AX65661 AX131197 AX196733 AX262269 AX327805 AX393341 AX458877 AX524413 AX589949 AX655485 AX721021 AX786557 AX852093 AX917629 AX983165 AZ65661 AZ131197 AZ196733 AZ262269 AZ327805 AZ393341 AZ458877 AZ524413 AZ589949 AZ655485 AZ721021 AZ786557 AZ852093 AZ917629 AZ983165 AX52 AX20 AZ8 AZ52 AX8 AZ20 Z52 AB52 Z55 AB55 AX55 AZ55 Z58 AB58 AX58 AZ58 Z61 AB61 AX61 AZ61 Z64 AB64 AX64 AZ64 Z67 AB67 AX67 AZ67 Z71 AB71 AX71 AZ71 Z74 AB74 AX74 AZ74 Z77 AB77 AX77 AZ77 Z80 AB80 AX80 AZ80 Z83 AB83 AX83 AZ83 Z86 AB86 AX86 AZ86 Z90 AB90 AX90 AZ90 Z93 AB93 AX93 AZ93 Z96 AB96 AX96 AZ96 Z99 AB99 AX99 AZ99 Z102 AB102 AX102 AZ102 Z105 AB105 AX105 AZ105 Z109 AB109 AX109 AZ109 Z112 AB112 AX112 AZ112 Z115 AB115 AX115 AZ115 Z118 AB118 AX118 AZ118 Z121 AB121 AX121 AZ121 Z124 AB124 AX124 AZ124"/>
    <dataValidation allowBlank="1" promptTitle="checkPeriodRange" sqref="W131198 W196734 W262270 W327806 W393342 W458878 W524414 W589950 W655486 W721022 W786558 W852094 W917630 W983166 AW128 AU12 BB12 AW65662 AW131198 AW196734 AW262270 AW327806 AW393342 AW458878 AW524414 AW589950 AW655486 AW721022 AW786558 AW852094 AW917630 AW983166 Y65662 Y128 W65662 Y131198 Y196734 Y262270 Y327806 Y393342 Y458878 Y524414 Y589950 Y655486 Y721022 Y786558 Y852094 Y917630 Y983166 AU128 Y12 BB128 W12 AW12 W128"/>
    <dataValidation type="textLength" operator="lessThanOrEqual" allowBlank="1" showInputMessage="1" showErrorMessage="1" errorTitle="Ошибка" error="Допускается ввод не более 900 символов!" sqref="BC65655:BC65662 BC131191:BC131198 BC196727:BC196734 BC262263:BC262270 BC327799:BC327806 BC393335:BC393342 BC458871:BC458878 BC524407:BC524414 BC589943:BC589950 BC655479:BC655486 BC721015:BC721022 BC786551:BC786558 BC852087:BC852094 BC917623:BC917630 BC983159:BC983166 AS8 T8:T12 AS52 T52:T128 AS55 AS58 AS61 AS64 AS67 AS71 AS74 AS77 AS80 AS83 AS86 AS90 AS93 AS96 AS99 AS102 AS105 AS109 AS112 AS115 AS118 AS121 AS124">
      <formula1>900</formula1>
    </dataValidation>
    <dataValidation allowBlank="1" showInputMessage="1" showErrorMessage="1" prompt="Для выбора выполните двойной щелчок левой клавиши мыши по соответствующей ячейке." sqref="AA65661 AA131197 AA196733 AA262269 AA327805 AA393341 AA458877 AA524413 AA589949 AA655485 AA721021 AA786557 AA852093 AA917629 AA983165 AC131197 AC458877 AC196733 AC262269 AC327805 AC393341 AC524413 AC589949 AC655485 AC721021 AC786557 AC852093 AC917629 AC983165 AC65661 AH52:AH53 AY8 AP52 AK52:AL53 AA8 AY65661 AY131197 AY196733 AY262269 AY327805 AY393341 AY458877 AY524413 AY589949 AY655485 AY721021 AY786557 AY852093 AY917629 AY983165 BA458877 BA196733 BA262269 BA327805 BA393341 BA524413 BA589949 BA655485 BA721021 BA786557 BA852093 BA917629 BA983165 BA65661 BA52 AC8:AD8 BA20 BA8 AY52 AK8:AL9 AD20 AG20:AH20 AK20:AL20 AP20 AY20 AH8:AH9 AP8 BA131197 AC52:AD52 AA52 AA55 AC55 AD55 AH55 AK55 AL55 AP55 AY55 BA55 AH56 AK56 AL56 AA58 AC58 AD58 AH58 AK58 AL58 AP58 AY58 BA58 AH59 AK59 AL59 AA61 AC61 AD61 AH61 AK61 AL61 AP61 AY61 BA61 AH62 AK62 AL62 AA64 AC64 AD64 AH64 AK64 AL64 AP64 AY64 BA64 AH65 AK65 AL65 AA67 AC67 AD67 AH67 AK67 AL67 AP67 AY67 BA67 AH68 AK68 AL68 AA71 AC71 AD71 AH71 AK71 AL71 AP71 AY71 BA71 AH72 AK72 AL72 AA74 AC74 AD74 AH74 AK74 AL74 AP74 AY74 BA74 AH75 AK75 AL75 AA77 AC77 AD77 AH77 AK77 AL77 AP77 AY77 BA77 AH78 AK78 AL78 AA80 AC80 AD80 AH80 AK80 AL80 AP80 AY80 BA80 AH81 AK81 AL81 AA83 AC83 AD83 AH83 AK83 AL83 AP83 AY83 BA83 AH84 AK84 AL84 AA86 AC86 AD86 AH86 AK86 AL86 AP86 AY86 BA86 AH87 AK87 AL87 AA90 AC90 AD90 AH90 AK90 AL90 AP90 AY90 BA90 AH91 AK91 AL91 AA93 AC93 AD93 AH93 AK93 AL93 AP93 AY93 BA93 AH94 AK94 AL94 AA96 AC96 AD96 AH96 AK96 AL96 AP96 AY96 BA96 AH97 AK97 AL97 AA99 AC99 AD99 AH99 AK99 AL99 AP99 AY99 BA99 AH100 AK100 AL100 AA102 AC102 AD102 AH102 AK102 AL102 AP102 AY102 BA102 AH103 AK103 AL103 AA105 AC105 AD105 AH105 AK105 AL105 AP105 AY105 BA105 AH106 AK106 AL106 AA109 AC109 AD109 AH109 AK109 AL109 AP109 AY109 BA109 AH110 AK110 AL110 AA112 AC112 AD112 AH112 AK112 AL112 AP112 AY112 BA112 AH113 AK113 AL113 AA115 AC115 AD115 AH115 AK115 AL115 AP115 AY115 BA115 AH116 AK116 AL116 AA118 AC118 AD118 AH118 AK118 AL118 AP118 AY118 BA118 AH119 AK119 AL119 AA121 AC121 AD121 AH121 AK121 AL121 AP121 AY121 BA121 AH122 AK122 AL122 AA124 AC124 AD124 AH124 AK124 AL124 AP124 AY124 BA124 AH125 AK125 AL125"/>
    <dataValidation type="decimal" allowBlank="1" showErrorMessage="1" errorTitle="Ошибка" error="Допускается ввод только действительных чисел!" sqref="AO52:AO53 AG8:AG11 AO8:AO9 AG52:AG127 AO55 AO56 AO58 AO59 AO61 AO62 AO64 AO65 AO67 AO68 AO71 AO72 AO74 AO75 AO77 AO78 AO80 AO81 AO83 AO84 AO86 AO87 AO90 AO91 AO93 AO94 AO96 AO97 AO99 AO100 AO102 AO103 AO105 AO106 AO109 AO110 AO112 AO113 AO115 AO116 AO118 AO119 AO121 AO122 AO124 AO12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64:BB983164 V917628:BB917628 V852092:BB852092 V786556:BB786556 V721020:BB721020 V655484:BB655484 V589948:BB589948 V524412:BB524412 V458876:BB458876 V393340:BB393340 V327804:BB327804 V262268:BB262268 V196732:BB196732 V131196:BB131196 V65660:BB65660">
      <formula1>kind_of_cons</formula1>
    </dataValidation>
    <dataValidation allowBlank="1" sqref="S65663:BC65669 S983167:BC983173 S917631:BC917637 S852095:BC852101 S786559:BC786565 S721023:BC721029 S655487:BC655493 S589951:BC589957 S524415:BC524421 S458879:BC458885 S393343:BC393349 S327807:BC327813 S262271:BC262277 S196735:BC196741 S131199:BC13120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4411A-BCC8-A82C-B82F-362FB889CA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401</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409</v>
      </c>
      <c r="P6" s="2427"/>
      <c r="Q6" s="2427">
        <v>1</v>
      </c>
      <c r="R6" s="527"/>
      <c r="S6" s="1663">
        <f>$J6</f>
      </c>
      <c r="T6" s="456" t="s">
        <v>410</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415</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66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666" customFormat="1" customHeight="1" ht="22.5" hidden="1">
      <c r="L18" s="1648"/>
      <c r="M18" s="1532"/>
      <c r="N18" s="1532"/>
      <c r="O18" s="1537" t="s">
        <v>418</v>
      </c>
      <c r="P18" s="1532"/>
      <c r="Q18" s="1541"/>
      <c r="R18" s="1541"/>
      <c r="S18" s="899"/>
      <c r="Y18" s="1537"/>
      <c r="AA18" s="1537"/>
      <c r="AB18" s="1536"/>
      <c r="AF18" s="1537"/>
      <c r="AH18" s="1537"/>
      <c r="AI18" s="1536"/>
      <c r="AL18" s="681"/>
      <c r="AM18" s="681"/>
      <c r="AN18" s="681"/>
      <c r="AO18" s="681"/>
      <c r="AP18" s="681"/>
      <c r="AQ18" s="1330">
        <v>0</v>
      </c>
    </row>
    <row s="9666" customFormat="1" customHeight="1" ht="14.25" hidden="1">
      <c r="L19" s="1648"/>
      <c r="M19" s="1532"/>
      <c r="N19" s="1532"/>
      <c r="O19" s="1532"/>
      <c r="P19" s="1532"/>
      <c r="Q19" s="1541"/>
      <c r="R19" s="1541"/>
      <c r="S19" s="899"/>
      <c r="AB19" s="1536"/>
      <c r="AI19" s="1536"/>
      <c r="AL19" s="681"/>
      <c r="AM19" s="681"/>
      <c r="AN19" s="681"/>
      <c r="AO19" s="681"/>
      <c r="AP19" s="681"/>
      <c r="AQ19" s="1330">
        <v>0</v>
      </c>
    </row>
    <row s="9666" customFormat="1" customHeight="1" ht="12" hidden="1">
      <c r="L20" s="1648"/>
      <c r="M20" s="1532"/>
      <c r="N20" s="1532"/>
      <c r="O20" s="1534" t="s">
        <v>419</v>
      </c>
      <c r="P20" s="1532"/>
      <c r="Q20" s="1612"/>
      <c r="R20" s="1612"/>
      <c r="S20" s="899"/>
      <c r="T20" s="1330" t="s">
        <v>420</v>
      </c>
      <c r="Z20" s="356" t="s">
        <v>421</v>
      </c>
      <c r="AB20" s="356" t="s">
        <v>422</v>
      </c>
      <c r="AC20" s="1330" t="s">
        <v>420</v>
      </c>
      <c r="AG20" s="356" t="s">
        <v>423</v>
      </c>
      <c r="AI20" s="356" t="s">
        <v>422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96"/>
      <c r="AK28" s="450"/>
      <c r="AL28" s="538"/>
      <c r="AM28" s="538"/>
      <c r="AN28" s="538"/>
      <c r="AO28" s="538"/>
      <c r="AP28" s="538"/>
      <c r="AQ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96"/>
      <c r="AK29" s="450"/>
      <c r="AL29" s="538"/>
      <c r="AM29" s="538"/>
      <c r="AN29" s="538"/>
      <c r="AO29" s="538"/>
      <c r="AP29" s="538"/>
      <c r="AQ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96"/>
      <c r="AK32" s="450"/>
      <c r="AL32" s="538"/>
      <c r="AM32" s="538"/>
      <c r="AN32" s="538"/>
      <c r="AO32" s="538"/>
      <c r="AP32" s="538"/>
      <c r="AQ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96"/>
      <c r="AK33" s="450"/>
      <c r="AL33" s="538"/>
      <c r="AM33" s="538"/>
      <c r="AN33" s="538"/>
      <c r="AO33" s="538"/>
      <c r="AP33" s="538"/>
      <c r="AQ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428</v>
      </c>
      <c r="AC34" s="496"/>
      <c r="AD34" s="496"/>
      <c r="AE34" s="496"/>
      <c r="AF34" s="496"/>
      <c r="AG34" s="496"/>
      <c r="AH34" s="496"/>
      <c r="AI34" s="448" t="s">
        <v>428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t="s">
        <v>304</v>
      </c>
      <c r="AQ36" s="1325">
        <v>14</v>
      </c>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2450" t="s">
        <v>433</v>
      </c>
      <c r="AK37" s="2297"/>
      <c r="AQ37" s="1325">
        <v>14</v>
      </c>
    </row>
    <row customHeight="1" ht="35.699999999999996">
      <c r="Q38" s="546"/>
      <c r="R38" s="546"/>
      <c r="S38" s="2443"/>
      <c r="T38" s="2379"/>
      <c r="U38" s="1201"/>
      <c r="V38" s="1653" t="s">
        <v>490</v>
      </c>
      <c r="W38" s="2432" t="s">
        <v>436</v>
      </c>
      <c r="X38" s="2433"/>
      <c r="Y38" s="2432" t="s">
        <v>437</v>
      </c>
      <c r="Z38" s="2439"/>
      <c r="AA38" s="2433"/>
      <c r="AB38" s="2448"/>
      <c r="AC38" s="1653" t="s">
        <v>490</v>
      </c>
      <c r="AD38" s="2432" t="s">
        <v>436</v>
      </c>
      <c r="AE38" s="2433"/>
      <c r="AF38" s="2432" t="s">
        <v>437</v>
      </c>
      <c r="AG38" s="2439"/>
      <c r="AH38" s="2433"/>
      <c r="AI38" s="2448"/>
      <c r="AJ38" s="2451"/>
      <c r="AK38" s="2297"/>
      <c r="AQ38" s="1325">
        <v>34</v>
      </c>
    </row>
    <row customHeight="1" ht="90.3">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653" t="s">
        <v>530</v>
      </c>
      <c r="W39" s="1392" t="s">
        <v>531</v>
      </c>
      <c r="X39" s="1392" t="s">
        <v>495</v>
      </c>
      <c r="Y39" s="1659" t="s">
        <v>447</v>
      </c>
      <c r="Z39" s="2440" t="s">
        <v>448</v>
      </c>
      <c r="AA39" s="2441"/>
      <c r="AB39" s="2449"/>
      <c r="AC39" s="1653" t="s">
        <v>530</v>
      </c>
      <c r="AD39" s="1392" t="s">
        <v>531</v>
      </c>
      <c r="AE39" s="1392" t="s">
        <v>495</v>
      </c>
      <c r="AF39" s="1659" t="s">
        <v>447</v>
      </c>
      <c r="AG39" s="2440" t="s">
        <v>448</v>
      </c>
      <c r="AH39" s="2441"/>
      <c r="AI39" s="2449"/>
      <c r="AJ39" s="2452"/>
      <c r="AK39" s="2297"/>
      <c r="AQ39" s="1325">
        <v>86</v>
      </c>
    </row>
    <row s="10287"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269</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122</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269</v>
      </c>
      <c r="B42" s="1533" t="s">
        <v>270</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400</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401</v>
      </c>
      <c r="AM42" s="670"/>
      <c r="AN42" s="670" t="str">
        <f>IF(T42="","",T42)</f>
        <v>Территория действия тарифа</v>
      </c>
      <c r="AO42" s="670"/>
      <c r="AP42" s="670"/>
      <c r="AQ42" s="1325">
        <v>23</v>
      </c>
    </row>
    <row customHeight="1" ht="24">
      <c r="A43" s="1533" t="s">
        <v>269</v>
      </c>
      <c r="B43" s="1533" t="s">
        <v>270</v>
      </c>
      <c r="C43" s="1533" t="s">
        <v>271</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водоотведения</v>
      </c>
      <c r="AO43" s="670"/>
      <c r="AP43" s="670"/>
      <c r="AQ43" s="1325">
        <v>23</v>
      </c>
    </row>
    <row customHeight="1" ht="24">
      <c r="A44" s="1533" t="s">
        <v>269</v>
      </c>
      <c r="B44" s="1533" t="s">
        <v>270</v>
      </c>
      <c r="C44" s="1533" t="s">
        <v>271</v>
      </c>
      <c r="D44" s="1533" t="s">
        <v>532</v>
      </c>
      <c r="E44" s="2429"/>
      <c r="F44" s="2429"/>
      <c r="G44" s="2429"/>
      <c r="H44" s="2429"/>
      <c r="I44" s="2426" t="str">
        <f>S43&amp;".1"</f>
        <v>...1</v>
      </c>
      <c r="J44" s="1533"/>
      <c r="K44" s="1533"/>
      <c r="L44" s="1534"/>
      <c r="P44" s="2427">
        <v>1</v>
      </c>
      <c r="Q44" s="1651"/>
      <c r="R44" s="526"/>
      <c r="S44" s="1663"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269</v>
      </c>
      <c r="B45" s="1533" t="s">
        <v>270</v>
      </c>
      <c r="C45" s="1533" t="s">
        <v>271</v>
      </c>
      <c r="D45" s="1533" t="s">
        <v>532</v>
      </c>
      <c r="E45" s="2429"/>
      <c r="F45" s="2429"/>
      <c r="G45" s="2429"/>
      <c r="H45" s="2429"/>
      <c r="I45" s="2456"/>
      <c r="J45" s="2426" t="str">
        <f>I44&amp;".1"</f>
        <v>...1.1</v>
      </c>
      <c r="K45" s="1533"/>
      <c r="L45" s="1534" t="s">
        <v>409</v>
      </c>
      <c r="P45" s="2427"/>
      <c r="Q45" s="2427">
        <v>1</v>
      </c>
      <c r="R45" s="527"/>
      <c r="S45" s="1663" t="str">
        <f>$J45</f>
        <v>...1.1</v>
      </c>
      <c r="T45" s="456" t="s">
        <v>410</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269</v>
      </c>
      <c r="B46" s="1533" t="s">
        <v>270</v>
      </c>
      <c r="C46" s="1533" t="s">
        <v>271</v>
      </c>
      <c r="D46" s="1533" t="s">
        <v>532</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269</v>
      </c>
      <c r="B47" s="1533" t="s">
        <v>270</v>
      </c>
      <c r="C47" s="1533" t="s">
        <v>271</v>
      </c>
      <c r="D47" s="1533" t="s">
        <v>532</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269</v>
      </c>
      <c r="B48" s="1533" t="s">
        <v>270</v>
      </c>
      <c r="C48" s="1533" t="s">
        <v>271</v>
      </c>
      <c r="D48" s="1533" t="s">
        <v>532</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269</v>
      </c>
      <c r="B49" s="1533" t="s">
        <v>270</v>
      </c>
      <c r="C49" s="1533" t="s">
        <v>271</v>
      </c>
      <c r="D49" s="1533" t="s">
        <v>532</v>
      </c>
      <c r="E49" s="2429"/>
      <c r="F49" s="2429"/>
      <c r="G49" s="2429"/>
      <c r="H49" s="2429"/>
      <c r="I49" s="2426"/>
      <c r="J49" s="1533"/>
      <c r="K49" s="1533"/>
      <c r="L49" s="1534"/>
      <c r="P49" s="2427"/>
      <c r="Q49" s="1651"/>
      <c r="R49" s="526"/>
      <c r="S49" s="1448"/>
      <c r="T49" s="535" t="s">
        <v>415</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269</v>
      </c>
      <c r="B50" s="1533" t="s">
        <v>270</v>
      </c>
      <c r="C50" s="1533" t="s">
        <v>271</v>
      </c>
      <c r="D50" s="1533" t="s">
        <v>532</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667" customFormat="1" customHeight="1" ht="0">
      <c r="A51" s="1513" t="s">
        <v>269</v>
      </c>
      <c r="B51" s="1513" t="s">
        <v>270</v>
      </c>
      <c r="C51" s="1484"/>
      <c r="D51" s="1484"/>
      <c r="E51" s="2429"/>
      <c r="F51" s="2428"/>
      <c r="G51" s="1484"/>
      <c r="H51" s="1484"/>
      <c r="I51" s="1484"/>
      <c r="J51" s="1484"/>
      <c r="K51" s="1484"/>
      <c r="L51" s="1664"/>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667" customFormat="1" customHeight="1" ht="0">
      <c r="A52" s="1513" t="s">
        <v>269</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66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41975-DD9A-713A-75DD-1A9D7B8101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4" style="9589" width="24.7109375" hidden="1" customWidth="1"/>
    <col min="25" max="25" style="9589" width="11.7109375" hidden="1" customWidth="1"/>
    <col min="26" max="26" style="9589" width="3.7109375" hidden="1" customWidth="1"/>
    <col min="27" max="27" style="9589" width="11.7109375" hidden="1" customWidth="1"/>
    <col min="28" max="28" style="9589" width="8.57421875" hidden="1" customWidth="1"/>
    <col min="29" max="29" style="9589" width="24.7109375" customWidth="1"/>
    <col min="30" max="31" style="9589" width="24.00390625" customWidth="1"/>
    <col min="32" max="32" style="9589" width="11.00390625" customWidth="1"/>
    <col min="33" max="33" style="9589" width="3.7109375" customWidth="1"/>
    <col min="34" max="34" style="9589" width="11.00390625" customWidth="1"/>
    <col min="35" max="35" style="9589" width="8.57421875" hidden="1" customWidth="1"/>
    <col min="36" max="36" style="9589" width="4.00390625" customWidth="1"/>
    <col min="37" max="37" style="9589" width="115.00390625" customWidth="1"/>
    <col min="38" max="42" style="9667" width="10.00390625" customWidth="1"/>
    <col min="43" max="43" style="958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122</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400</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401</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409</v>
      </c>
      <c r="P6" s="2427"/>
      <c r="Q6" s="2427">
        <v>1</v>
      </c>
      <c r="R6" s="527"/>
      <c r="S6" s="1663">
        <f>$J6</f>
      </c>
      <c r="T6" s="456" t="s">
        <v>410</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415</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66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666" customFormat="1" customHeight="1" ht="22.5" hidden="1">
      <c r="L18" s="1648"/>
      <c r="M18" s="1532"/>
      <c r="N18" s="1532"/>
      <c r="O18" s="1537" t="s">
        <v>418</v>
      </c>
      <c r="P18" s="1532"/>
      <c r="Q18" s="1541"/>
      <c r="R18" s="1541"/>
      <c r="S18" s="899"/>
      <c r="Y18" s="1537"/>
      <c r="AA18" s="1537"/>
      <c r="AB18" s="1536"/>
      <c r="AF18" s="1537"/>
      <c r="AH18" s="1537"/>
      <c r="AI18" s="1536"/>
      <c r="AL18" s="681"/>
      <c r="AM18" s="681"/>
      <c r="AN18" s="681"/>
      <c r="AO18" s="681"/>
      <c r="AP18" s="681"/>
      <c r="AQ18" s="1330">
        <v>0</v>
      </c>
    </row>
    <row s="9666" customFormat="1" customHeight="1" ht="14.25" hidden="1">
      <c r="L19" s="1648"/>
      <c r="M19" s="1532"/>
      <c r="N19" s="1532"/>
      <c r="O19" s="1532"/>
      <c r="P19" s="1532"/>
      <c r="Q19" s="1541"/>
      <c r="R19" s="1541"/>
      <c r="S19" s="899"/>
      <c r="AB19" s="1536"/>
      <c r="AI19" s="1536"/>
      <c r="AL19" s="681"/>
      <c r="AM19" s="681"/>
      <c r="AN19" s="681"/>
      <c r="AO19" s="681"/>
      <c r="AP19" s="681"/>
      <c r="AQ19" s="1330">
        <v>0</v>
      </c>
    </row>
    <row s="9666" customFormat="1" customHeight="1" ht="12" hidden="1">
      <c r="L20" s="1648"/>
      <c r="M20" s="1532"/>
      <c r="N20" s="1532"/>
      <c r="O20" s="1534" t="s">
        <v>419</v>
      </c>
      <c r="P20" s="1532"/>
      <c r="Q20" s="1612"/>
      <c r="R20" s="1612"/>
      <c r="S20" s="899"/>
      <c r="T20" s="1330" t="s">
        <v>420</v>
      </c>
      <c r="Z20" s="356" t="s">
        <v>421</v>
      </c>
      <c r="AB20" s="356" t="s">
        <v>422</v>
      </c>
      <c r="AC20" s="1330" t="s">
        <v>420</v>
      </c>
      <c r="AG20" s="356" t="s">
        <v>423</v>
      </c>
      <c r="AI20" s="356" t="s">
        <v>422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496"/>
      <c r="AC28" s="2434" t="str">
        <f>IF(TITLE_DATE_PR_CHANGE="",IF(TITLE_DATE_PR="","",TITLE_DATE_PR),TITLE_DATE_PR_CHANGE)</f>
        <v>45408.40866898148</v>
      </c>
      <c r="AD28" s="2434"/>
      <c r="AE28" s="2434"/>
      <c r="AF28" s="2434"/>
      <c r="AG28" s="2434"/>
      <c r="AH28" s="2434"/>
      <c r="AI28" s="496"/>
      <c r="AJ28" s="496"/>
      <c r="AK28" s="450"/>
      <c r="AL28" s="538"/>
      <c r="AM28" s="538"/>
      <c r="AN28" s="538"/>
      <c r="AO28" s="538"/>
      <c r="AP28" s="538"/>
      <c r="AQ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496"/>
      <c r="AC29" s="2421" t="str">
        <f>IF(TITLE_NUMBER_PR_CHANGE="",IF(TITLE_NUMBER_PR="","",TITLE_NUMBER_PR),TITLE_NUMBER_PR_CHANGE)</f>
        <v>1005,1062</v>
      </c>
      <c r="AD29" s="2421"/>
      <c r="AE29" s="2421"/>
      <c r="AF29" s="2421"/>
      <c r="AG29" s="2421"/>
      <c r="AH29" s="2421"/>
      <c r="AI29" s="496"/>
      <c r="AJ29" s="496"/>
      <c r="AK29" s="450"/>
      <c r="AL29" s="538"/>
      <c r="AM29" s="538"/>
      <c r="AN29" s="538"/>
      <c r="AO29" s="538"/>
      <c r="AP29" s="538"/>
      <c r="AQ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496"/>
      <c r="AC32" s="2434" t="str">
        <f>IF(TITLE_DATE_PR_CHANGE="",IF(TITLE_DATE_PR="","",TITLE_DATE_PR),TITLE_DATE_PR_CHANGE)</f>
        <v>45408.40866898148</v>
      </c>
      <c r="AD32" s="2434"/>
      <c r="AE32" s="2434"/>
      <c r="AF32" s="2434"/>
      <c r="AG32" s="2434"/>
      <c r="AH32" s="2434"/>
      <c r="AI32" s="496"/>
      <c r="AJ32" s="496"/>
      <c r="AK32" s="450"/>
      <c r="AL32" s="538"/>
      <c r="AM32" s="538"/>
      <c r="AN32" s="538"/>
      <c r="AO32" s="538"/>
      <c r="AP32" s="538"/>
      <c r="AQ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496"/>
      <c r="AC33" s="2421" t="str">
        <f>IF(TITLE_NUMBER_PR_CHANGE="",IF(TITLE_NUMBER_PR="","",TITLE_NUMBER_PR),TITLE_NUMBER_PR_CHANGE)</f>
        <v>1005,1062</v>
      </c>
      <c r="AD33" s="2421"/>
      <c r="AE33" s="2421"/>
      <c r="AF33" s="2421"/>
      <c r="AG33" s="2421"/>
      <c r="AH33" s="2421"/>
      <c r="AI33" s="496"/>
      <c r="AJ33" s="496"/>
      <c r="AK33" s="450"/>
      <c r="AL33" s="538"/>
      <c r="AM33" s="538"/>
      <c r="AN33" s="538"/>
      <c r="AO33" s="538"/>
      <c r="AP33" s="538"/>
      <c r="AQ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428</v>
      </c>
      <c r="AC34" s="496"/>
      <c r="AD34" s="496"/>
      <c r="AE34" s="496"/>
      <c r="AF34" s="496"/>
      <c r="AG34" s="496"/>
      <c r="AH34" s="496"/>
      <c r="AI34" s="448" t="s">
        <v>428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t="s">
        <v>304</v>
      </c>
      <c r="AQ36" s="1325">
        <v>14</v>
      </c>
    </row>
    <row customHeight="1" ht="14.699999999999998">
      <c r="Q37" s="546"/>
      <c r="R37" s="546"/>
      <c r="S37" s="2443" t="s">
        <v>87</v>
      </c>
      <c r="T37" s="2379" t="s">
        <v>429</v>
      </c>
      <c r="U37" s="471"/>
      <c r="V37" s="2444" t="s">
        <v>430</v>
      </c>
      <c r="W37" s="2445"/>
      <c r="X37" s="2445"/>
      <c r="Y37" s="2445"/>
      <c r="Z37" s="2445"/>
      <c r="AA37" s="2446"/>
      <c r="AB37" s="2447" t="s">
        <v>431</v>
      </c>
      <c r="AC37" s="2444" t="s">
        <v>430</v>
      </c>
      <c r="AD37" s="2445"/>
      <c r="AE37" s="2445"/>
      <c r="AF37" s="2445"/>
      <c r="AG37" s="2445"/>
      <c r="AH37" s="2446"/>
      <c r="AI37" s="2447" t="s">
        <v>432</v>
      </c>
      <c r="AJ37" s="2450" t="s">
        <v>433</v>
      </c>
      <c r="AK37" s="2297"/>
      <c r="AQ37" s="1325">
        <v>14</v>
      </c>
    </row>
    <row customHeight="1" ht="35.699999999999996">
      <c r="Q38" s="546"/>
      <c r="R38" s="546"/>
      <c r="S38" s="2443"/>
      <c r="T38" s="2379"/>
      <c r="U38" s="1201"/>
      <c r="V38" s="1653" t="s">
        <v>490</v>
      </c>
      <c r="W38" s="2432" t="s">
        <v>436</v>
      </c>
      <c r="X38" s="2433"/>
      <c r="Y38" s="2432" t="s">
        <v>437</v>
      </c>
      <c r="Z38" s="2439"/>
      <c r="AA38" s="2433"/>
      <c r="AB38" s="2448"/>
      <c r="AC38" s="1653" t="s">
        <v>490</v>
      </c>
      <c r="AD38" s="2432" t="s">
        <v>436</v>
      </c>
      <c r="AE38" s="2433"/>
      <c r="AF38" s="2432" t="s">
        <v>437</v>
      </c>
      <c r="AG38" s="2439"/>
      <c r="AH38" s="2433"/>
      <c r="AI38" s="2448"/>
      <c r="AJ38" s="2451"/>
      <c r="AK38" s="2297"/>
      <c r="AQ38" s="1325">
        <v>34</v>
      </c>
    </row>
    <row customHeight="1" ht="90.3">
      <c r="A39" s="1540"/>
      <c r="B39" s="1540" t="s">
        <v>134</v>
      </c>
      <c r="C39" s="1540" t="s">
        <v>135</v>
      </c>
      <c r="D39" s="1540" t="s">
        <v>136</v>
      </c>
      <c r="E39" s="1534" t="s">
        <v>438</v>
      </c>
      <c r="F39" s="1534" t="s">
        <v>439</v>
      </c>
      <c r="G39" s="1534" t="s">
        <v>440</v>
      </c>
      <c r="H39" s="1534"/>
      <c r="I39" s="1534" t="s">
        <v>491</v>
      </c>
      <c r="J39" s="1534" t="s">
        <v>443</v>
      </c>
      <c r="K39" s="1534" t="s">
        <v>492</v>
      </c>
      <c r="L39" s="1534" t="s">
        <v>419</v>
      </c>
      <c r="Q39" s="546"/>
      <c r="R39" s="546"/>
      <c r="S39" s="2443"/>
      <c r="T39" s="2379"/>
      <c r="U39" s="472"/>
      <c r="V39" s="1653" t="s">
        <v>530</v>
      </c>
      <c r="W39" s="1392" t="s">
        <v>531</v>
      </c>
      <c r="X39" s="1392" t="s">
        <v>495</v>
      </c>
      <c r="Y39" s="1659" t="s">
        <v>447</v>
      </c>
      <c r="Z39" s="2440" t="s">
        <v>448</v>
      </c>
      <c r="AA39" s="2441"/>
      <c r="AB39" s="2449"/>
      <c r="AC39" s="1653" t="s">
        <v>530</v>
      </c>
      <c r="AD39" s="1392" t="s">
        <v>531</v>
      </c>
      <c r="AE39" s="1392" t="s">
        <v>495</v>
      </c>
      <c r="AF39" s="1659" t="s">
        <v>447</v>
      </c>
      <c r="AG39" s="2440" t="s">
        <v>448</v>
      </c>
      <c r="AH39" s="2441"/>
      <c r="AI39" s="2449"/>
      <c r="AJ39" s="2452"/>
      <c r="AK39" s="2297"/>
      <c r="AQ39" s="1325">
        <v>86</v>
      </c>
    </row>
    <row s="1028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274</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122</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274</v>
      </c>
      <c r="B42" s="1533" t="s">
        <v>275</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400</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401</v>
      </c>
      <c r="AM42" s="670"/>
      <c r="AN42" s="670" t="str">
        <f>IF(T42="","",T42)</f>
        <v>Территория действия тарифа</v>
      </c>
      <c r="AO42" s="670"/>
      <c r="AP42" s="670"/>
      <c r="AQ42" s="1325">
        <v>23</v>
      </c>
    </row>
    <row customHeight="1" ht="24">
      <c r="A43" s="1533" t="s">
        <v>274</v>
      </c>
      <c r="B43" s="1533" t="s">
        <v>275</v>
      </c>
      <c r="C43" s="1533" t="s">
        <v>276</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водоотведения</v>
      </c>
      <c r="AO43" s="670"/>
      <c r="AP43" s="670"/>
      <c r="AQ43" s="1325">
        <v>23</v>
      </c>
    </row>
    <row customHeight="1" ht="24">
      <c r="A44" s="1533" t="s">
        <v>274</v>
      </c>
      <c r="B44" s="1533" t="s">
        <v>275</v>
      </c>
      <c r="C44" s="1533" t="s">
        <v>276</v>
      </c>
      <c r="D44" s="1533" t="s">
        <v>533</v>
      </c>
      <c r="E44" s="2429"/>
      <c r="F44" s="2429"/>
      <c r="G44" s="2429"/>
      <c r="H44" s="2429"/>
      <c r="I44" s="2426" t="str">
        <f>S43&amp;".1"</f>
        <v>...1</v>
      </c>
      <c r="J44" s="1533"/>
      <c r="K44" s="1533"/>
      <c r="L44" s="1534"/>
      <c r="P44" s="2427">
        <v>1</v>
      </c>
      <c r="Q44" s="1651"/>
      <c r="R44" s="526"/>
      <c r="S44" s="1663"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274</v>
      </c>
      <c r="B45" s="1533" t="s">
        <v>275</v>
      </c>
      <c r="C45" s="1533" t="s">
        <v>276</v>
      </c>
      <c r="D45" s="1533" t="s">
        <v>533</v>
      </c>
      <c r="E45" s="2429"/>
      <c r="F45" s="2429"/>
      <c r="G45" s="2429"/>
      <c r="H45" s="2429"/>
      <c r="I45" s="2456"/>
      <c r="J45" s="2426" t="str">
        <f>I44&amp;".1"</f>
        <v>...1.1</v>
      </c>
      <c r="K45" s="1533"/>
      <c r="L45" s="1534" t="s">
        <v>409</v>
      </c>
      <c r="P45" s="2427"/>
      <c r="Q45" s="2427">
        <v>1</v>
      </c>
      <c r="R45" s="527"/>
      <c r="S45" s="1663" t="str">
        <f>$J45</f>
        <v>...1.1</v>
      </c>
      <c r="T45" s="456" t="s">
        <v>410</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274</v>
      </c>
      <c r="B46" s="1533" t="s">
        <v>275</v>
      </c>
      <c r="C46" s="1533" t="s">
        <v>276</v>
      </c>
      <c r="D46" s="1533" t="s">
        <v>533</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274</v>
      </c>
      <c r="B47" s="1533" t="s">
        <v>275</v>
      </c>
      <c r="C47" s="1533" t="s">
        <v>276</v>
      </c>
      <c r="D47" s="1533" t="s">
        <v>533</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274</v>
      </c>
      <c r="B48" s="1533" t="s">
        <v>275</v>
      </c>
      <c r="C48" s="1533" t="s">
        <v>276</v>
      </c>
      <c r="D48" s="1533" t="s">
        <v>533</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274</v>
      </c>
      <c r="B49" s="1533" t="s">
        <v>275</v>
      </c>
      <c r="C49" s="1533" t="s">
        <v>276</v>
      </c>
      <c r="D49" s="1533" t="s">
        <v>533</v>
      </c>
      <c r="E49" s="2429"/>
      <c r="F49" s="2429"/>
      <c r="G49" s="2429"/>
      <c r="H49" s="2429"/>
      <c r="I49" s="2426"/>
      <c r="J49" s="1533"/>
      <c r="K49" s="1533"/>
      <c r="L49" s="1534"/>
      <c r="P49" s="2427"/>
      <c r="Q49" s="1651"/>
      <c r="R49" s="526"/>
      <c r="S49" s="1448"/>
      <c r="T49" s="535" t="s">
        <v>415</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274</v>
      </c>
      <c r="B50" s="1533" t="s">
        <v>275</v>
      </c>
      <c r="C50" s="1533" t="s">
        <v>276</v>
      </c>
      <c r="D50" s="1533" t="s">
        <v>533</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667" customFormat="1" customHeight="1" ht="0">
      <c r="A51" s="1513" t="s">
        <v>274</v>
      </c>
      <c r="B51" s="1513" t="s">
        <v>275</v>
      </c>
      <c r="C51" s="1484"/>
      <c r="D51" s="1484"/>
      <c r="E51" s="2429"/>
      <c r="F51" s="2428"/>
      <c r="G51" s="1484"/>
      <c r="H51" s="1484"/>
      <c r="I51" s="1484"/>
      <c r="J51" s="1484"/>
      <c r="K51" s="1484"/>
      <c r="L51" s="1664"/>
      <c r="M51" s="1491"/>
      <c r="N51" s="1491"/>
      <c r="P51" s="1486"/>
      <c r="Q51" s="1487"/>
      <c r="R51" s="1486"/>
      <c r="S51" s="1492"/>
      <c r="T51" s="1495" t="s">
        <v>228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667" customFormat="1" customHeight="1" ht="0">
      <c r="A52" s="1513" t="s">
        <v>274</v>
      </c>
      <c r="B52" s="1513"/>
      <c r="C52" s="1513"/>
      <c r="D52" s="1513"/>
      <c r="E52" s="2428"/>
      <c r="F52" s="1513"/>
      <c r="G52" s="1513"/>
      <c r="H52" s="1513"/>
      <c r="I52" s="1513"/>
      <c r="J52" s="1513"/>
      <c r="K52" s="1513"/>
      <c r="L52" s="1516"/>
      <c r="M52" s="1491"/>
      <c r="N52" s="1491"/>
      <c r="O52" s="688"/>
      <c r="P52" s="550"/>
      <c r="Q52" s="1514"/>
      <c r="R52" s="550"/>
      <c r="S52" s="1492"/>
      <c r="T52" s="1495" t="s">
        <v>229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66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230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BA92D-79AD-8105-3E0F-F420B2306F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9666" width="11.57421875" hidden="1" customWidth="1"/>
    <col min="2" max="2" style="9666" width="11.00390625" hidden="1" customWidth="1"/>
    <col min="3" max="3" style="9666" width="10.57421875" hidden="1"/>
    <col min="4" max="4" style="9666" width="12.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2" width="3.7109375" hidden="1" customWidth="1"/>
    <col min="17" max="17" style="10718" width="3.7109375" hidden="1" customWidth="1"/>
    <col min="18" max="18" style="10534" width="3.00390625" customWidth="1"/>
    <col min="19" max="19" style="10535" width="12.00390625" customWidth="1"/>
    <col min="20" max="20" style="9589" width="31.00390625" customWidth="1"/>
    <col min="21" max="21" style="9589" width="0.140625" customWidth="1"/>
    <col min="22" max="25" style="9589" width="21.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3.7109375" customWidth="1"/>
    <col min="31" max="32" style="9589" width="3.00390625" customWidth="1"/>
    <col min="33" max="33" style="9589" width="24.00390625" customWidth="1"/>
    <col min="34" max="34" style="9589" width="3.7109375" customWidth="1"/>
    <col min="35" max="36" style="9589" width="3.00390625" customWidth="1"/>
    <col min="37" max="37" style="9589" width="24.00390625" customWidth="1"/>
    <col min="38" max="38" style="9589" width="3.7109375" customWidth="1"/>
    <col min="39" max="40" style="9589" width="3.00390625" customWidth="1"/>
    <col min="41" max="41" style="9589" width="18.00390625" customWidth="1"/>
    <col min="42" max="42" style="9589" width="3.7109375" customWidth="1"/>
    <col min="43" max="44" style="9589" width="3.00390625" customWidth="1"/>
    <col min="45" max="45" style="9589" width="18.00390625" customWidth="1"/>
    <col min="46" max="49" style="9589" width="21.00390625" customWidth="1"/>
    <col min="50" max="50" style="9589" width="11.00390625" customWidth="1"/>
    <col min="51" max="51" style="9589" width="3.7109375" customWidth="1"/>
    <col min="52" max="52" style="9589" width="11.00390625" customWidth="1"/>
    <col min="53" max="53" style="9589" width="8.57421875" hidden="1" customWidth="1"/>
    <col min="54" max="54" style="9589" width="4.00390625" customWidth="1"/>
    <col min="55" max="55" style="9589" width="115.00390625" customWidth="1"/>
    <col min="56" max="60" style="9667" width="10.00390625" customWidth="1"/>
    <col min="61" max="61" style="958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122</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400</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401</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528</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529</v>
      </c>
      <c r="BE4" s="670"/>
      <c r="BF4" s="670" t="str">
        <f>IF(T4="","",T4)</f>
        <v>Наименование централизованной системы водоотведения</v>
      </c>
      <c r="BG4" s="670"/>
      <c r="BH4" s="670"/>
      <c r="BI4" s="1325">
        <v>0</v>
      </c>
    </row>
    <row s="966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405</v>
      </c>
      <c r="BE5" s="670"/>
      <c r="BF5" s="670" t="str">
        <f>IF(T5="","",T5)</f>
        <v/>
      </c>
      <c r="BG5" s="670"/>
      <c r="BH5" s="670"/>
      <c r="BI5" s="681">
        <v>0</v>
      </c>
    </row>
    <row s="9667" customFormat="1" customHeight="1" ht="14.25" hidden="1">
      <c r="A6" s="1513"/>
      <c r="B6" s="1513"/>
      <c r="C6" s="1513"/>
      <c r="D6" s="1513"/>
      <c r="E6" s="2429"/>
      <c r="F6" s="2429"/>
      <c r="G6" s="2429"/>
      <c r="H6" s="2429"/>
      <c r="I6" s="2426" t="str">
        <f>S5&amp;".1"</f>
        <v>.1</v>
      </c>
      <c r="J6" s="1513"/>
      <c r="K6" s="1513"/>
      <c r="L6" s="1516" t="s">
        <v>406</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66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28</v>
      </c>
      <c r="AL8" s="2277" t="s">
        <v>65</v>
      </c>
      <c r="AM8" s="2362"/>
      <c r="AN8" s="2375">
        <v>1</v>
      </c>
      <c r="AO8" s="2527"/>
      <c r="AP8" s="2528" t="s">
        <v>65</v>
      </c>
      <c r="AQ8" s="481"/>
      <c r="AR8" s="1656">
        <v>1</v>
      </c>
      <c r="AS8" s="1662" t="s">
        <v>28</v>
      </c>
      <c r="AT8" s="921"/>
      <c r="AU8" s="1427"/>
      <c r="AV8" s="921"/>
      <c r="AW8" s="1427"/>
      <c r="AX8" s="1904"/>
      <c r="AY8" s="1639" t="s">
        <v>65</v>
      </c>
      <c r="AZ8" s="1904"/>
      <c r="BA8" s="1639" t="s">
        <v>65</v>
      </c>
      <c r="BB8" s="1518"/>
      <c r="BC8" s="2423" t="s">
        <v>503</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504</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534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535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507</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66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66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66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66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228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66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229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89" customFormat="1" customHeight="1" ht="14.25" hidden="1">
      <c r="M24" s="1678"/>
      <c r="N24" s="1678"/>
      <c r="O24" s="1679" t="s">
        <v>419</v>
      </c>
      <c r="P24" s="1678"/>
      <c r="Q24" s="1680"/>
      <c r="R24" s="1680"/>
      <c r="AA24" s="1677" t="s">
        <v>421</v>
      </c>
      <c r="AC24" s="1677" t="s">
        <v>422</v>
      </c>
      <c r="AD24" s="1677" t="s">
        <v>469</v>
      </c>
      <c r="AH24" s="1677" t="s">
        <v>469</v>
      </c>
      <c r="AK24" s="1677" t="s">
        <v>508</v>
      </c>
      <c r="AL24" s="1677" t="s">
        <v>469</v>
      </c>
      <c r="AP24" s="1677" t="s">
        <v>469</v>
      </c>
      <c r="AY24" s="1677" t="s">
        <v>421</v>
      </c>
      <c r="BA24" s="1677" t="s">
        <v>422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"Водоканал"</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79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79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424</v>
      </c>
      <c r="T32" s="2420"/>
      <c r="U32" s="1542"/>
      <c r="V32" s="2434" t="str">
        <f>IF(TITLE_DATE_PR_CHANGE="",IF(TITLE_DATE_PR="","",TITLE_DATE_PR),TITLE_DATE_PR_CHANGE)</f>
        <v>45408.40866898148</v>
      </c>
      <c r="W32" s="2434"/>
      <c r="X32" s="2434"/>
      <c r="Y32" s="2434"/>
      <c r="Z32" s="2434"/>
      <c r="AA32" s="2434"/>
      <c r="AB32" s="2434"/>
      <c r="AC32" s="496"/>
      <c r="AD32" s="2434" t="str">
        <f>IF(TITLE_DATE_PR_CHANGE="",IF(TITLE_DATE_PR="","",TITLE_DATE_PR),TITLE_DATE_PR_CHANGE)</f>
        <v>45408.40866898148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79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425</v>
      </c>
      <c r="T33" s="2420"/>
      <c r="U33" s="1542"/>
      <c r="V33" s="2421" t="str">
        <f>IF(TITLE_NUMBER_PR_CHANGE="",IF(TITLE_NUMBER_PR="","",TITLE_NUMBER_PR),TITLE_NUMBER_PR_CHANGE)</f>
        <v>1005,1062</v>
      </c>
      <c r="W33" s="2421"/>
      <c r="X33" s="2421"/>
      <c r="Y33" s="2421"/>
      <c r="Z33" s="2421"/>
      <c r="AA33" s="2421"/>
      <c r="AB33" s="2421"/>
      <c r="AC33" s="496"/>
      <c r="AD33" s="2421" t="str">
        <f>IF(TITLE_NUMBER_PR_CHANGE="",IF(TITLE_NUMBER_PR="","",TITLE_NUMBER_PR),TITLE_NUMBER_PR_CHANGE)</f>
        <v>1005,1062</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79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793" customFormat="1" customHeight="1" ht="18.75">
      <c r="A36" s="1538"/>
      <c r="B36" s="1538"/>
      <c r="C36" s="1538"/>
      <c r="D36" s="1538"/>
      <c r="E36" s="1538"/>
      <c r="F36" s="1538"/>
      <c r="G36" s="1538"/>
      <c r="H36" s="1538"/>
      <c r="I36" s="1538"/>
      <c r="J36" s="1538"/>
      <c r="K36" s="1538"/>
      <c r="L36" s="1539"/>
      <c r="M36" s="1538"/>
      <c r="N36" s="1538"/>
      <c r="O36" s="1538"/>
      <c r="P36" s="1538"/>
      <c r="Q36" s="1538"/>
      <c r="S36" s="2420" t="s">
        <v>424</v>
      </c>
      <c r="T36" s="2420"/>
      <c r="U36" s="1542"/>
      <c r="V36" s="2434" t="str">
        <f>IF(TITLE_DATE_PR_CHANGE="",IF(TITLE_DATE_PR="","",TITLE_DATE_PR),TITLE_DATE_PR_CHANGE)</f>
        <v>45408.40866898148</v>
      </c>
      <c r="W36" s="2434"/>
      <c r="X36" s="2434"/>
      <c r="Y36" s="2434"/>
      <c r="Z36" s="2434"/>
      <c r="AA36" s="2434"/>
      <c r="AB36" s="2434"/>
      <c r="AC36" s="496"/>
      <c r="AD36" s="2434" t="str">
        <f>IF(TITLE_DATE_PR_CHANGE="",IF(TITLE_DATE_PR="","",TITLE_DATE_PR),TITLE_DATE_PR_CHANGE)</f>
        <v>45408.40866898148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793" customFormat="1" customHeight="1" ht="18.75">
      <c r="A37" s="1538"/>
      <c r="B37" s="1538"/>
      <c r="C37" s="1538"/>
      <c r="D37" s="1538"/>
      <c r="E37" s="1538"/>
      <c r="F37" s="1538"/>
      <c r="G37" s="1538"/>
      <c r="H37" s="1538"/>
      <c r="I37" s="1538"/>
      <c r="J37" s="1538"/>
      <c r="K37" s="1538"/>
      <c r="L37" s="1539"/>
      <c r="M37" s="1538"/>
      <c r="N37" s="1538"/>
      <c r="O37" s="1538"/>
      <c r="P37" s="1538"/>
      <c r="Q37" s="1538"/>
      <c r="S37" s="2420" t="s">
        <v>425</v>
      </c>
      <c r="T37" s="2420"/>
      <c r="U37" s="1542"/>
      <c r="V37" s="2421" t="str">
        <f>IF(TITLE_NUMBER_PR_CHANGE="",IF(TITLE_NUMBER_PR="","",TITLE_NUMBER_PR),TITLE_NUMBER_PR_CHANGE)</f>
        <v>1005,1062</v>
      </c>
      <c r="W37" s="2421"/>
      <c r="X37" s="2421"/>
      <c r="Y37" s="2421"/>
      <c r="Z37" s="2421"/>
      <c r="AA37" s="2421"/>
      <c r="AB37" s="2421"/>
      <c r="AC37" s="496"/>
      <c r="AD37" s="2421" t="str">
        <f>IF(TITLE_NUMBER_PR_CHANGE="",IF(TITLE_NUMBER_PR="","",TITLE_NUMBER_PR),TITLE_NUMBER_PR_CHANGE)</f>
        <v>1005,1062</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79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303</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304</v>
      </c>
      <c r="BI40" s="1325">
        <v>14</v>
      </c>
    </row>
    <row customHeight="1" ht="14.699999999999998">
      <c r="Q41" s="461"/>
      <c r="R41" s="546"/>
      <c r="S41" s="2443" t="s">
        <v>87</v>
      </c>
      <c r="T41" s="2379" t="s">
        <v>509</v>
      </c>
      <c r="U41" s="471"/>
      <c r="V41" s="2444" t="s">
        <v>430</v>
      </c>
      <c r="W41" s="2445"/>
      <c r="X41" s="2445"/>
      <c r="Y41" s="2445"/>
      <c r="Z41" s="2445"/>
      <c r="AA41" s="2445"/>
      <c r="AB41" s="2446"/>
      <c r="AC41" s="2447" t="s">
        <v>431</v>
      </c>
      <c r="AD41" s="2498" t="s">
        <v>536</v>
      </c>
      <c r="AE41" s="2461"/>
      <c r="AF41" s="2461"/>
      <c r="AG41" s="2499"/>
      <c r="AH41" s="2498" t="s">
        <v>537</v>
      </c>
      <c r="AI41" s="2461"/>
      <c r="AJ41" s="2461"/>
      <c r="AK41" s="2499"/>
      <c r="AL41" s="2498" t="s">
        <v>538</v>
      </c>
      <c r="AM41" s="2461"/>
      <c r="AN41" s="2461"/>
      <c r="AO41" s="2499"/>
      <c r="AP41" s="2498" t="s">
        <v>513</v>
      </c>
      <c r="AQ41" s="2461"/>
      <c r="AR41" s="2461"/>
      <c r="AS41" s="2499"/>
      <c r="AT41" s="2444" t="s">
        <v>430</v>
      </c>
      <c r="AU41" s="2445"/>
      <c r="AV41" s="2445"/>
      <c r="AW41" s="2445"/>
      <c r="AX41" s="2445"/>
      <c r="AY41" s="2445"/>
      <c r="AZ41" s="2446"/>
      <c r="BA41" s="2447" t="s">
        <v>431</v>
      </c>
      <c r="BB41" s="2450" t="s">
        <v>433</v>
      </c>
      <c r="BC41" s="2297"/>
      <c r="BI41" s="1325">
        <v>14</v>
      </c>
    </row>
    <row customHeight="1" ht="35.699999999999996">
      <c r="Q42" s="461"/>
      <c r="R42" s="546"/>
      <c r="S42" s="2443"/>
      <c r="T42" s="2379"/>
      <c r="U42" s="1201"/>
      <c r="V42" s="2362" t="s">
        <v>514</v>
      </c>
      <c r="W42" s="2363"/>
      <c r="X42" s="2362" t="s">
        <v>515</v>
      </c>
      <c r="Y42" s="2363"/>
      <c r="Z42" s="2464" t="s">
        <v>516</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539</v>
      </c>
      <c r="AU42" s="2363"/>
      <c r="AV42" s="2362" t="s">
        <v>540</v>
      </c>
      <c r="AW42" s="2363"/>
      <c r="AX42" s="2464" t="s">
        <v>516</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134</v>
      </c>
      <c r="C44" s="1540" t="s">
        <v>135</v>
      </c>
      <c r="D44" s="1540" t="s">
        <v>136</v>
      </c>
      <c r="E44" s="1534" t="s">
        <v>438</v>
      </c>
      <c r="F44" s="1534" t="s">
        <v>439</v>
      </c>
      <c r="G44" s="1534" t="s">
        <v>440</v>
      </c>
      <c r="H44" s="1534" t="s">
        <v>441</v>
      </c>
      <c r="I44" s="1534" t="s">
        <v>442</v>
      </c>
      <c r="J44" s="1534" t="s">
        <v>443</v>
      </c>
      <c r="K44" s="1534" t="s">
        <v>444</v>
      </c>
      <c r="L44" s="1534" t="s">
        <v>419</v>
      </c>
      <c r="Q44" s="461"/>
      <c r="R44" s="546"/>
      <c r="S44" s="2443"/>
      <c r="T44" s="2379"/>
      <c r="U44" s="472"/>
      <c r="V44" s="1649" t="s">
        <v>478</v>
      </c>
      <c r="W44" s="1649" t="s">
        <v>479</v>
      </c>
      <c r="X44" s="1649" t="s">
        <v>478</v>
      </c>
      <c r="Y44" s="1649" t="s">
        <v>479</v>
      </c>
      <c r="Z44" s="1659" t="s">
        <v>447</v>
      </c>
      <c r="AA44" s="2440" t="s">
        <v>448</v>
      </c>
      <c r="AB44" s="2441"/>
      <c r="AC44" s="2449"/>
      <c r="AD44" s="2503"/>
      <c r="AE44" s="2504"/>
      <c r="AF44" s="2504"/>
      <c r="AG44" s="2505"/>
      <c r="AH44" s="2503"/>
      <c r="AI44" s="2504"/>
      <c r="AJ44" s="2504"/>
      <c r="AK44" s="2505"/>
      <c r="AL44" s="2503"/>
      <c r="AM44" s="2504"/>
      <c r="AN44" s="2504"/>
      <c r="AO44" s="2505"/>
      <c r="AP44" s="2503"/>
      <c r="AQ44" s="2504"/>
      <c r="AR44" s="2504"/>
      <c r="AS44" s="2505"/>
      <c r="AT44" s="1649" t="s">
        <v>478</v>
      </c>
      <c r="AU44" s="1649" t="s">
        <v>479</v>
      </c>
      <c r="AV44" s="1649" t="s">
        <v>478</v>
      </c>
      <c r="AW44" s="1649" t="s">
        <v>479</v>
      </c>
      <c r="AX44" s="1659" t="s">
        <v>447</v>
      </c>
      <c r="AY44" s="2440" t="s">
        <v>448</v>
      </c>
      <c r="AZ44" s="2441"/>
      <c r="BA44" s="2449"/>
      <c r="BB44" s="2452"/>
      <c r="BC44" s="2297"/>
      <c r="BI44" s="1325">
        <v>14</v>
      </c>
    </row>
    <row s="10287"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279</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122</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279</v>
      </c>
      <c r="B47" s="1533" t="s">
        <v>280</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400</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401</v>
      </c>
      <c r="BE47" s="670"/>
      <c r="BF47" s="670" t="str">
        <f>IF(T47="","",T47)</f>
        <v>Территория действия тарифа</v>
      </c>
      <c r="BG47" s="670"/>
      <c r="BH47" s="670"/>
      <c r="BI47" s="1325">
        <v>21</v>
      </c>
    </row>
    <row customHeight="1" ht="35.699999999999996">
      <c r="A48" s="1533" t="s">
        <v>279</v>
      </c>
      <c r="B48" s="1533" t="s">
        <v>280</v>
      </c>
      <c r="C48" s="1533" t="s">
        <v>281</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528</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529</v>
      </c>
      <c r="BE48" s="670"/>
      <c r="BF48" s="670" t="str">
        <f>IF(T48="","",T48)</f>
        <v>Наименование централизованной системы водоотведения</v>
      </c>
      <c r="BG48" s="670"/>
      <c r="BH48" s="670"/>
      <c r="BI48" s="1325">
        <v>34</v>
      </c>
    </row>
    <row s="9667" customFormat="1" customHeight="1" ht="0">
      <c r="A49" s="1513" t="s">
        <v>279</v>
      </c>
      <c r="B49" s="1513" t="s">
        <v>280</v>
      </c>
      <c r="C49" s="1513" t="s">
        <v>281</v>
      </c>
      <c r="D49" s="1513" t="s">
        <v>541</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405</v>
      </c>
      <c r="BE49" s="670"/>
      <c r="BF49" s="670" t="str">
        <f>IF(T49="","",T49)</f>
        <v/>
      </c>
      <c r="BG49" s="670"/>
      <c r="BH49" s="670"/>
      <c r="BI49" s="681">
        <v>0</v>
      </c>
    </row>
    <row s="9667" customFormat="1" customHeight="1" ht="0">
      <c r="A50" s="1513" t="s">
        <v>279</v>
      </c>
      <c r="B50" s="1513" t="s">
        <v>280</v>
      </c>
      <c r="C50" s="1513" t="s">
        <v>281</v>
      </c>
      <c r="D50" s="1513" t="s">
        <v>541</v>
      </c>
      <c r="E50" s="2429"/>
      <c r="F50" s="2429"/>
      <c r="G50" s="2429"/>
      <c r="H50" s="2429"/>
      <c r="I50" s="2426" t="str">
        <f>S49&amp;".1"</f>
        <v>.1</v>
      </c>
      <c r="J50" s="1513"/>
      <c r="K50" s="1513"/>
      <c r="L50" s="1516" t="s">
        <v>406</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667" customFormat="1" customHeight="1" ht="0">
      <c r="A51" s="1513" t="s">
        <v>279</v>
      </c>
      <c r="B51" s="1513" t="s">
        <v>280</v>
      </c>
      <c r="C51" s="1513" t="s">
        <v>281</v>
      </c>
      <c r="D51" s="1513" t="s">
        <v>541</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279</v>
      </c>
      <c r="B52" s="1533" t="s">
        <v>280</v>
      </c>
      <c r="C52" s="1533" t="s">
        <v>281</v>
      </c>
      <c r="D52" s="1533" t="s">
        <v>541</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28</v>
      </c>
      <c r="AL52" s="2277" t="s">
        <v>65</v>
      </c>
      <c r="AM52" s="2362"/>
      <c r="AN52" s="2375">
        <v>1</v>
      </c>
      <c r="AO52" s="2527"/>
      <c r="AP52" s="2528" t="s">
        <v>65</v>
      </c>
      <c r="AQ52" s="481"/>
      <c r="AR52" s="1656">
        <v>1</v>
      </c>
      <c r="AS52" s="1662" t="s">
        <v>28</v>
      </c>
      <c r="AT52" s="921"/>
      <c r="AU52" s="1427"/>
      <c r="AV52" s="921"/>
      <c r="AW52" s="1427"/>
      <c r="AX52" s="1904"/>
      <c r="AY52" s="1639" t="s">
        <v>65</v>
      </c>
      <c r="AZ52" s="1904"/>
      <c r="BA52" s="1639" t="s">
        <v>65</v>
      </c>
      <c r="BB52" s="1518"/>
      <c r="BC52" s="2423" t="s">
        <v>503</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504</v>
      </c>
      <c r="AT53" s="1563"/>
      <c r="AU53" s="1666"/>
      <c r="AV53" s="1563"/>
      <c r="AW53" s="1666"/>
      <c r="AX53" s="1563"/>
      <c r="AY53" s="1563"/>
      <c r="AZ53" s="1563"/>
      <c r="BA53" s="1563"/>
      <c r="BB53" s="1567"/>
      <c r="BC53" s="2424"/>
      <c r="BE53" s="670"/>
      <c r="BF53" s="670"/>
      <c r="BG53" s="670"/>
      <c r="BH53" s="670"/>
      <c r="BI53" s="1325">
        <v>11</v>
      </c>
    </row>
    <row customHeight="1" ht="11.549999999999999">
      <c r="A54" s="1533" t="s">
        <v>279</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534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279</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535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279</v>
      </c>
      <c r="B56" s="1533" t="s">
        <v>280</v>
      </c>
      <c r="C56" s="1533" t="s">
        <v>281</v>
      </c>
      <c r="D56" s="1533" t="s">
        <v>541</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507</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279</v>
      </c>
      <c r="B57" s="1533" t="s">
        <v>280</v>
      </c>
      <c r="C57" s="1533" t="s">
        <v>281</v>
      </c>
      <c r="D57" s="1533" t="s">
        <v>541</v>
      </c>
      <c r="E57" s="2429"/>
      <c r="F57" s="2429"/>
      <c r="G57" s="2429"/>
      <c r="H57" s="2429"/>
      <c r="I57" s="2456"/>
      <c r="J57" s="2426"/>
      <c r="K57" s="1533"/>
      <c r="L57" s="1534"/>
      <c r="P57" s="2427"/>
      <c r="Q57" s="2427"/>
      <c r="R57" s="526"/>
      <c r="S57" s="1448"/>
      <c r="T57" s="457" t="s">
        <v>468</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667" customFormat="1" customHeight="1" ht="0">
      <c r="A58" s="1513" t="s">
        <v>279</v>
      </c>
      <c r="B58" s="1513" t="s">
        <v>280</v>
      </c>
      <c r="C58" s="1513" t="s">
        <v>281</v>
      </c>
      <c r="D58" s="1513" t="s">
        <v>541</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667" customFormat="1" customHeight="1" ht="0">
      <c r="A59" s="1513" t="s">
        <v>279</v>
      </c>
      <c r="B59" s="1513" t="s">
        <v>280</v>
      </c>
      <c r="C59" s="1513" t="s">
        <v>281</v>
      </c>
      <c r="D59" s="1513" t="s">
        <v>541</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667" customFormat="1" customHeight="1" ht="0">
      <c r="A60" s="1513" t="s">
        <v>279</v>
      </c>
      <c r="B60" s="1513" t="s">
        <v>280</v>
      </c>
      <c r="C60" s="1513" t="s">
        <v>281</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667" customFormat="1" customHeight="1" ht="0">
      <c r="A61" s="1513" t="s">
        <v>279</v>
      </c>
      <c r="B61" s="1513" t="s">
        <v>280</v>
      </c>
      <c r="C61" s="1484"/>
      <c r="D61" s="1484"/>
      <c r="E61" s="2429"/>
      <c r="F61" s="2428"/>
      <c r="G61" s="1484"/>
      <c r="H61" s="1484"/>
      <c r="I61" s="1484"/>
      <c r="J61" s="1484"/>
      <c r="K61" s="1484"/>
      <c r="L61" s="1664"/>
      <c r="M61" s="1491"/>
      <c r="N61" s="1491"/>
      <c r="P61" s="1486"/>
      <c r="Q61" s="1487"/>
      <c r="R61" s="1486"/>
      <c r="S61" s="1492"/>
      <c r="T61" s="1495" t="s">
        <v>228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667" customFormat="1" customHeight="1" ht="0">
      <c r="A62" s="1513" t="s">
        <v>279</v>
      </c>
      <c r="B62" s="1513"/>
      <c r="C62" s="1513"/>
      <c r="D62" s="1513"/>
      <c r="E62" s="2428"/>
      <c r="F62" s="1513"/>
      <c r="G62" s="1513"/>
      <c r="H62" s="1513"/>
      <c r="I62" s="1513"/>
      <c r="J62" s="1513"/>
      <c r="K62" s="1513"/>
      <c r="L62" s="1516"/>
      <c r="M62" s="1491"/>
      <c r="N62" s="1491"/>
      <c r="O62" s="688"/>
      <c r="P62" s="550"/>
      <c r="Q62" s="1514"/>
      <c r="R62" s="550"/>
      <c r="S62" s="1492"/>
      <c r="T62" s="1495" t="s">
        <v>229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66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230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B692E-8A92-19A8-ECC5-FC9BA03F571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9589" width="8.00390625" hidden="1" customWidth="1"/>
    <col min="2" max="2" style="9666" width="6.00390625" hidden="1" customWidth="1"/>
    <col min="3" max="3" style="9589" width="3.00390625" customWidth="1"/>
    <col min="4" max="4" style="9755" width="3.00390625" customWidth="1"/>
    <col min="5" max="5" style="9589" width="6.00390625" customWidth="1"/>
    <col min="6" max="6" style="9589" width="2.7109375" hidden="1" customWidth="1"/>
    <col min="7" max="7" style="9589" width="46.7109375" customWidth="1"/>
    <col min="8" max="8" style="9589" width="42.00390625" customWidth="1"/>
    <col min="9" max="9" style="9589" width="14.00390625" customWidth="1"/>
    <col min="10" max="10" style="9756" width="3.00390625" customWidth="1"/>
    <col min="11" max="13" style="9756" width="9.140625" hidden="1"/>
    <col min="14" max="14" style="9756" width="25.7109375" hidden="1" customWidth="1"/>
    <col min="15" max="15" style="9756" width="14.421875" hidden="1" customWidth="1"/>
    <col min="16" max="19" style="9757" width="9.140625" hidden="1"/>
    <col min="20" max="27" style="9589" width="9.140625" hidden="1"/>
    <col min="28" max="28" style="9589" width="8.00390625" customWidth="1"/>
    <col min="29" max="29" style="9589" width="9.140625" hidden="1"/>
  </cols>
  <sheetData>
    <row s="9667" customFormat="1" customHeight="1" ht="5.25" hidden="1">
      <c r="A1" s="666"/>
      <c r="B1" s="681"/>
      <c r="C1" s="681"/>
      <c r="D1" s="391"/>
      <c r="F1" s="681"/>
      <c r="G1" s="417" t="s">
        <v>82</v>
      </c>
      <c r="H1" s="664" t="s">
        <v>83</v>
      </c>
      <c r="I1" s="397" t="s">
        <v>84</v>
      </c>
      <c r="J1" s="417" t="s">
        <v>82</v>
      </c>
      <c r="K1" s="417"/>
      <c r="L1" s="417"/>
      <c r="M1" s="417"/>
      <c r="N1" s="418"/>
      <c r="O1" s="417"/>
      <c r="P1" s="417"/>
      <c r="Q1" s="417"/>
      <c r="R1" s="417"/>
      <c r="S1" s="417"/>
      <c r="T1" s="397"/>
      <c r="U1" s="397"/>
      <c r="V1" s="397"/>
      <c r="W1" s="397"/>
      <c r="X1" s="397"/>
      <c r="Y1" s="397"/>
      <c r="Z1" s="397"/>
      <c r="AA1" s="397"/>
      <c r="AB1" s="397"/>
      <c r="AC1" s="322" t="s">
        <v>14</v>
      </c>
    </row>
    <row s="9676"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9682" customFormat="1" customHeight="1" ht="3">
      <c r="A3" s="928"/>
      <c r="B3" s="587"/>
      <c r="C3" s="928"/>
      <c r="D3" s="334"/>
      <c r="E3" s="273"/>
      <c r="F3" s="679"/>
      <c r="G3" s="273"/>
      <c r="H3" s="273"/>
      <c r="I3" s="336"/>
      <c r="J3" s="417"/>
      <c r="K3" s="325"/>
      <c r="L3" s="325"/>
      <c r="M3" s="325"/>
      <c r="N3" s="396"/>
      <c r="O3" s="325"/>
      <c r="P3" s="395"/>
      <c r="Q3" s="395"/>
      <c r="R3" s="395"/>
      <c r="S3" s="395"/>
      <c r="AC3" s="286">
        <v>3</v>
      </c>
    </row>
    <row s="9682"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9682" customFormat="1" customHeight="1" ht="3">
      <c r="A5" s="928"/>
      <c r="B5" s="587"/>
      <c r="C5" s="928"/>
      <c r="D5" s="334"/>
      <c r="E5" s="273"/>
      <c r="F5" s="679"/>
      <c r="G5" s="337"/>
      <c r="H5" s="337"/>
      <c r="I5" s="338"/>
      <c r="J5" s="325"/>
      <c r="K5" s="325"/>
      <c r="L5" s="325"/>
      <c r="M5" s="325"/>
      <c r="N5" s="396"/>
      <c r="O5" s="325"/>
      <c r="P5" s="395"/>
      <c r="Q5" s="395"/>
      <c r="R5" s="395"/>
      <c r="S5" s="395"/>
      <c r="AC5" s="286">
        <v>3</v>
      </c>
    </row>
    <row s="9682"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9682" customFormat="1" customHeight="1" ht="14.699999999999998">
      <c r="A8" s="928"/>
      <c r="B8" s="587"/>
      <c r="C8" s="928"/>
      <c r="D8" s="334"/>
      <c r="E8" s="2271" t="s">
        <v>85</v>
      </c>
      <c r="F8" s="2272"/>
      <c r="G8" s="2273"/>
      <c r="H8" s="2274" t="s">
        <v>86</v>
      </c>
      <c r="I8" s="2274"/>
      <c r="J8" s="325"/>
      <c r="K8" s="325"/>
      <c r="L8" s="325"/>
      <c r="M8" s="325"/>
      <c r="N8" s="396"/>
      <c r="O8" s="325"/>
      <c r="P8" s="395"/>
      <c r="Q8" s="395"/>
      <c r="R8" s="395"/>
      <c r="S8" s="395"/>
      <c r="AC8" s="286">
        <v>14</v>
      </c>
    </row>
    <row s="9682" customFormat="1" customHeight="1" ht="21">
      <c r="A9" s="928"/>
      <c r="B9" s="587"/>
      <c r="C9" s="928"/>
      <c r="D9" s="334"/>
      <c r="E9" s="947" t="s">
        <v>87</v>
      </c>
      <c r="F9" s="947"/>
      <c r="G9" s="342" t="s">
        <v>88</v>
      </c>
      <c r="H9" s="342" t="s">
        <v>88</v>
      </c>
      <c r="I9" s="342" t="s">
        <v>84</v>
      </c>
      <c r="J9" s="325"/>
      <c r="K9" s="325"/>
      <c r="L9" s="325"/>
      <c r="M9" s="325"/>
      <c r="N9" s="396"/>
      <c r="O9" s="325"/>
      <c r="P9" s="395"/>
      <c r="Q9" s="395"/>
      <c r="R9" s="395"/>
      <c r="S9" s="395"/>
      <c r="AC9" s="286">
        <v>20</v>
      </c>
    </row>
    <row customHeight="1" ht="11.549999999999999">
      <c r="D10" s="346"/>
      <c r="E10" s="948" t="s">
        <v>89</v>
      </c>
      <c r="F10" s="948"/>
      <c r="G10" s="393" t="s">
        <v>90</v>
      </c>
      <c r="H10" s="393" t="s">
        <v>91</v>
      </c>
      <c r="I10" s="393" t="s">
        <v>92</v>
      </c>
      <c r="J10" s="356"/>
      <c r="K10" s="356"/>
      <c r="L10" s="356"/>
      <c r="M10" s="356"/>
      <c r="N10" s="341"/>
      <c r="O10" s="356"/>
      <c r="P10" s="394"/>
      <c r="Q10" s="394"/>
      <c r="R10" s="394"/>
      <c r="S10" s="394"/>
      <c r="AC10" s="253">
        <v>11</v>
      </c>
    </row>
    <row s="9682" customFormat="1" customHeight="1" ht="1.05">
      <c r="A11" s="928"/>
      <c r="B11" s="587"/>
      <c r="C11" s="928"/>
      <c r="D11" s="334"/>
      <c r="E11" s="960"/>
      <c r="F11" s="960"/>
      <c r="G11" s="343"/>
      <c r="H11" s="343"/>
      <c r="I11" s="345"/>
      <c r="J11" s="419" t="s">
        <v>93</v>
      </c>
      <c r="K11" s="325"/>
      <c r="L11" s="325"/>
      <c r="M11" s="325" t="s">
        <v>94</v>
      </c>
      <c r="N11" s="396" t="s">
        <v>95</v>
      </c>
      <c r="O11" s="325" t="s">
        <v>96</v>
      </c>
      <c r="P11" s="395"/>
      <c r="Q11" s="395"/>
      <c r="R11" s="395"/>
      <c r="S11" s="395"/>
      <c r="AC11" s="286">
        <v>1</v>
      </c>
    </row>
    <row s="9682" customFormat="1" customHeight="1" ht="15">
      <c r="A12" s="2269">
        <v>1</v>
      </c>
      <c r="B12" s="587"/>
      <c r="C12" s="928"/>
      <c r="D12" s="952"/>
      <c r="E12" s="389">
        <f>A12</f>
        <v>1</v>
      </c>
      <c r="F12" s="972" t="s">
        <v>97</v>
      </c>
      <c r="G12" s="710" t="str">
        <f>"Территория "&amp;E12</f>
        <v>Территория 1</v>
      </c>
      <c r="H12" s="962"/>
      <c r="I12" s="962"/>
      <c r="J12" s="959"/>
      <c r="K12" s="670"/>
      <c r="L12" s="670"/>
      <c r="M12" s="670"/>
      <c r="N12" s="396"/>
      <c r="O12" s="670"/>
      <c r="P12" s="395"/>
      <c r="Q12" s="395"/>
      <c r="R12" s="395"/>
      <c r="S12" s="395"/>
      <c r="AC12" s="677">
        <v>14</v>
      </c>
    </row>
    <row s="9727" customFormat="1" customHeight="1" ht="15.75">
      <c r="A13" s="2269"/>
      <c r="B13" s="587">
        <v>1</v>
      </c>
      <c r="C13" s="587"/>
      <c r="D13" s="970"/>
      <c r="E13" s="950" t="str">
        <f>A12&amp;"."&amp;B13</f>
        <v>1.1</v>
      </c>
      <c r="F13" s="965" t="s">
        <v>98</v>
      </c>
      <c r="G13" s="963" t="s">
        <v>99</v>
      </c>
      <c r="H13" s="963" t="s">
        <v>99</v>
      </c>
      <c r="I13" s="961" t="s">
        <v>100</v>
      </c>
      <c r="J13" s="670">
        <f>MERGEVALUE(G13)</f>
      </c>
      <c r="K13" s="681"/>
      <c r="L13" s="681"/>
      <c r="M13" s="670" t="str">
        <f t="array" ref="M13:M13">IF(ISERROR(MATCH(MID(N13,1,250),MID(note_ter,1,250),0)),"n","y")</f>
        <v>n</v>
      </c>
      <c r="N13" s="681"/>
      <c r="O13" s="670" t="str">
        <f>H13&amp;"("&amp;I13&amp;")"</f>
        <v>г. Йошкар-Ола(88701000)</v>
      </c>
      <c r="P13" s="587"/>
      <c r="Q13" s="587"/>
      <c r="R13" s="590"/>
      <c r="S13" s="587"/>
      <c r="T13" s="587"/>
      <c r="U13" s="587"/>
      <c r="V13" s="592"/>
      <c r="W13" s="592"/>
      <c r="X13" s="589"/>
      <c r="Y13" s="589"/>
      <c r="Z13" s="589"/>
      <c r="AA13" s="589"/>
      <c r="AB13" s="589"/>
      <c r="AC13" s="593">
        <v>15</v>
      </c>
    </row>
    <row s="9727" customFormat="1" customHeight="1" ht="15.75">
      <c r="A14" s="2269"/>
      <c r="B14" s="587"/>
      <c r="C14" s="582"/>
      <c r="D14" s="971"/>
      <c r="E14" s="591"/>
      <c r="F14" s="347"/>
      <c r="G14" s="585" t="s">
        <v>101</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9682" customFormat="1" customHeight="1" ht="14.699999999999998">
      <c r="A15" s="928"/>
      <c r="B15" s="587"/>
      <c r="C15" s="928"/>
      <c r="D15" s="952"/>
      <c r="E15" s="964"/>
      <c r="F15" s="348"/>
      <c r="G15" s="586" t="s">
        <v>102</v>
      </c>
      <c r="H15" s="348"/>
      <c r="I15" s="349"/>
      <c r="J15" s="419"/>
      <c r="K15" s="325"/>
      <c r="L15" s="325"/>
      <c r="M15" s="325"/>
      <c r="N15" s="396" t="s">
        <v>103</v>
      </c>
      <c r="O15" s="325"/>
      <c r="P15" s="395"/>
      <c r="Q15" s="395"/>
      <c r="R15" s="395"/>
      <c r="S15" s="395"/>
      <c r="AC15" s="286">
        <v>14</v>
      </c>
    </row>
    <row s="9682"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9682"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9682"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9750" customFormat="1" customHeight="1" ht="10.5">
      <c r="B19" s="1004"/>
      <c r="D19" s="352"/>
      <c r="J19" s="325"/>
      <c r="K19" s="325"/>
      <c r="L19" s="325"/>
      <c r="M19" s="325"/>
      <c r="N19" s="396"/>
      <c r="O19" s="325"/>
      <c r="P19" s="395"/>
      <c r="Q19" s="395"/>
      <c r="R19" s="395"/>
      <c r="S19" s="395"/>
      <c r="AC19" s="351">
        <v>10</v>
      </c>
    </row>
    <row s="9750"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81</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6DDE-1F6A-49F3-A841-347AB30D71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8" style="9589" width="19.7109375" hidden="1" customWidth="1"/>
    <col min="29" max="29" style="9589" width="11.7109375" hidden="1" customWidth="1"/>
    <col min="30" max="30" style="9589" width="3.7109375" hidden="1" customWidth="1"/>
    <col min="31" max="31" style="9589" width="11.7109375" hidden="1" customWidth="1"/>
    <col min="32" max="32" style="9589" width="8.57421875" hidden="1" customWidth="1"/>
    <col min="33" max="33" style="9589" width="19.7109375" customWidth="1"/>
    <col min="34" max="39" style="9589" width="19.00390625" customWidth="1"/>
    <col min="40" max="40" style="9589" width="11.00390625" customWidth="1"/>
    <col min="41" max="41" style="9589" width="3.7109375" customWidth="1"/>
    <col min="42" max="42" style="9589" width="11.00390625" customWidth="1"/>
    <col min="43" max="43" style="9589" width="8.57421875" hidden="1" customWidth="1"/>
    <col min="44" max="44" style="9589" width="4.00390625" customWidth="1"/>
    <col min="45" max="45" style="9589" width="115.00390625" customWidth="1"/>
    <col min="46" max="50" style="9667" width="10.00390625" customWidth="1"/>
    <col min="51" max="51" style="9589"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122</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400</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401</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542</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543</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484</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409</v>
      </c>
      <c r="P6" s="2427"/>
      <c r="Q6" s="2427">
        <v>1</v>
      </c>
      <c r="R6" s="527"/>
      <c r="S6" s="1663">
        <f>$J6</f>
      </c>
      <c r="T6" s="456" t="s">
        <v>410</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485</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65</v>
      </c>
      <c r="AE7" s="2435"/>
      <c r="AF7" s="2277" t="s">
        <v>65</v>
      </c>
      <c r="AG7" s="921"/>
      <c r="AH7" s="921"/>
      <c r="AI7" s="921"/>
      <c r="AJ7" s="921"/>
      <c r="AK7" s="921"/>
      <c r="AL7" s="921"/>
      <c r="AM7" s="921"/>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487</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415</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966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65</v>
      </c>
      <c r="AP15" s="2437"/>
      <c r="AQ15" s="2438" t="s">
        <v>65</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9666" customFormat="1" customHeight="1" ht="22.5" hidden="1">
      <c r="L18" s="1648"/>
      <c r="M18" s="1532"/>
      <c r="N18" s="1532"/>
      <c r="O18" s="1537" t="s">
        <v>418</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9666"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9666" customFormat="1" customHeight="1" ht="12" hidden="1">
      <c r="L20" s="1648"/>
      <c r="M20" s="1532"/>
      <c r="N20" s="1532"/>
      <c r="O20" s="1534" t="s">
        <v>419</v>
      </c>
      <c r="P20" s="1532"/>
      <c r="Q20" s="1612"/>
      <c r="R20" s="1612"/>
      <c r="S20" s="899"/>
      <c r="T20" s="1330" t="s">
        <v>420</v>
      </c>
      <c r="W20" s="1536"/>
      <c r="X20" s="1536"/>
      <c r="Y20" s="1536"/>
      <c r="Z20" s="1536"/>
      <c r="AA20" s="1536"/>
      <c r="AB20" s="1536"/>
      <c r="AD20" s="356" t="s">
        <v>421</v>
      </c>
      <c r="AF20" s="356" t="s">
        <v>422</v>
      </c>
      <c r="AG20" s="1330" t="s">
        <v>420</v>
      </c>
      <c r="AH20" s="1536"/>
      <c r="AI20" s="1536"/>
      <c r="AJ20" s="1536"/>
      <c r="AK20" s="1536"/>
      <c r="AL20" s="1536"/>
      <c r="AO20" s="356" t="s">
        <v>423</v>
      </c>
      <c r="AQ20" s="356" t="s">
        <v>422</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2434"/>
      <c r="AC28" s="2434"/>
      <c r="AD28" s="2434"/>
      <c r="AE28" s="2434"/>
      <c r="AF28" s="496"/>
      <c r="AG28" s="2434" t="str">
        <f>IF(TITLE_DATE_PR_CHANGE="",IF(TITLE_DATE_PR="","",TITLE_DATE_PR),TITLE_DATE_PR_CHANGE)</f>
        <v>45408.40866898148</v>
      </c>
      <c r="AH28" s="2434"/>
      <c r="AI28" s="2434"/>
      <c r="AJ28" s="2434"/>
      <c r="AK28" s="2434"/>
      <c r="AL28" s="2434"/>
      <c r="AM28" s="2434"/>
      <c r="AN28" s="2434"/>
      <c r="AO28" s="2434"/>
      <c r="AP28" s="2434"/>
      <c r="AQ28" s="496"/>
      <c r="AR28" s="496"/>
      <c r="AS28" s="450"/>
      <c r="AT28" s="538"/>
      <c r="AU28" s="538"/>
      <c r="AV28" s="538"/>
      <c r="AW28" s="538"/>
      <c r="AX28" s="538"/>
      <c r="AY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2421"/>
      <c r="AC29" s="2421"/>
      <c r="AD29" s="2421"/>
      <c r="AE29" s="2421"/>
      <c r="AF29" s="496"/>
      <c r="AG29" s="2421" t="str">
        <f>IF(TITLE_NUMBER_PR_CHANGE="",IF(TITLE_NUMBER_PR="","",TITLE_NUMBER_PR),TITLE_NUMBER_PR_CHANGE)</f>
        <v>1005,1062</v>
      </c>
      <c r="AH29" s="2421"/>
      <c r="AI29" s="2421"/>
      <c r="AJ29" s="2421"/>
      <c r="AK29" s="2421"/>
      <c r="AL29" s="2421"/>
      <c r="AM29" s="2421"/>
      <c r="AN29" s="2421"/>
      <c r="AO29" s="2421"/>
      <c r="AP29" s="2421"/>
      <c r="AQ29" s="496"/>
      <c r="AR29" s="496"/>
      <c r="AS29" s="450"/>
      <c r="AT29" s="538"/>
      <c r="AU29" s="538"/>
      <c r="AV29" s="538"/>
      <c r="AW29" s="538"/>
      <c r="AX29" s="538"/>
      <c r="AY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2434"/>
      <c r="AC32" s="2434"/>
      <c r="AD32" s="2434"/>
      <c r="AE32" s="2434"/>
      <c r="AF32" s="496"/>
      <c r="AG32" s="2434" t="str">
        <f>IF(TITLE_DATE_PR_CHANGE="",IF(TITLE_DATE_PR="","",TITLE_DATE_PR),TITLE_DATE_PR_CHANGE)</f>
        <v>45408.40866898148</v>
      </c>
      <c r="AH32" s="2434"/>
      <c r="AI32" s="2434"/>
      <c r="AJ32" s="2434"/>
      <c r="AK32" s="2434"/>
      <c r="AL32" s="2434"/>
      <c r="AM32" s="2434"/>
      <c r="AN32" s="2434"/>
      <c r="AO32" s="2434"/>
      <c r="AP32" s="2434"/>
      <c r="AQ32" s="496"/>
      <c r="AR32" s="496"/>
      <c r="AS32" s="450"/>
      <c r="AT32" s="538"/>
      <c r="AU32" s="538"/>
      <c r="AV32" s="538"/>
      <c r="AW32" s="538"/>
      <c r="AX32" s="538"/>
      <c r="AY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2421"/>
      <c r="AC33" s="2421"/>
      <c r="AD33" s="2421"/>
      <c r="AE33" s="2421"/>
      <c r="AF33" s="496"/>
      <c r="AG33" s="2421" t="str">
        <f>IF(TITLE_NUMBER_PR_CHANGE="",IF(TITLE_NUMBER_PR="","",TITLE_NUMBER_PR),TITLE_NUMBER_PR_CHANGE)</f>
        <v>1005,1062</v>
      </c>
      <c r="AH33" s="2421"/>
      <c r="AI33" s="2421"/>
      <c r="AJ33" s="2421"/>
      <c r="AK33" s="2421"/>
      <c r="AL33" s="2421"/>
      <c r="AM33" s="2421"/>
      <c r="AN33" s="2421"/>
      <c r="AO33" s="2421"/>
      <c r="AP33" s="2421"/>
      <c r="AQ33" s="496"/>
      <c r="AR33" s="496"/>
      <c r="AS33" s="450"/>
      <c r="AT33" s="538"/>
      <c r="AU33" s="538"/>
      <c r="AV33" s="538"/>
      <c r="AW33" s="538"/>
      <c r="AX33" s="538"/>
      <c r="AY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428</v>
      </c>
      <c r="AG34" s="496"/>
      <c r="AH34" s="1805"/>
      <c r="AI34" s="1805"/>
      <c r="AJ34" s="1805"/>
      <c r="AK34" s="1805"/>
      <c r="AL34" s="1805"/>
      <c r="AM34" s="496"/>
      <c r="AN34" s="496"/>
      <c r="AO34" s="496"/>
      <c r="AP34" s="496"/>
      <c r="AQ34" s="448" t="s">
        <v>428</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304</v>
      </c>
      <c r="AY36" s="1325">
        <v>14</v>
      </c>
    </row>
    <row customHeight="1" ht="14.699999999999998">
      <c r="Q37" s="546"/>
      <c r="R37" s="546"/>
      <c r="S37" s="2443" t="s">
        <v>87</v>
      </c>
      <c r="T37" s="2379" t="s">
        <v>429</v>
      </c>
      <c r="U37" s="471"/>
      <c r="V37" s="2444" t="s">
        <v>430</v>
      </c>
      <c r="W37" s="2461"/>
      <c r="X37" s="2461"/>
      <c r="Y37" s="2461"/>
      <c r="Z37" s="2461"/>
      <c r="AA37" s="2461"/>
      <c r="AB37" s="2461"/>
      <c r="AC37" s="2445"/>
      <c r="AD37" s="2445"/>
      <c r="AE37" s="2446"/>
      <c r="AF37" s="2447" t="s">
        <v>431</v>
      </c>
      <c r="AG37" s="2444" t="s">
        <v>430</v>
      </c>
      <c r="AH37" s="2445"/>
      <c r="AI37" s="2445"/>
      <c r="AJ37" s="2445"/>
      <c r="AK37" s="2445"/>
      <c r="AL37" s="2445"/>
      <c r="AM37" s="2445"/>
      <c r="AN37" s="2445"/>
      <c r="AO37" s="2445"/>
      <c r="AP37" s="2446"/>
      <c r="AQ37" s="2447" t="s">
        <v>432</v>
      </c>
      <c r="AR37" s="2450" t="s">
        <v>433</v>
      </c>
      <c r="AS37" s="2297"/>
      <c r="AY37" s="1325">
        <v>14</v>
      </c>
    </row>
    <row customHeight="1" ht="19.95">
      <c r="Q38" s="546"/>
      <c r="R38" s="546"/>
      <c r="S38" s="2443"/>
      <c r="T38" s="2379"/>
      <c r="U38" s="1201"/>
      <c r="V38" s="2536" t="s">
        <v>544</v>
      </c>
      <c r="W38" s="2535" t="s">
        <v>545</v>
      </c>
      <c r="X38" s="2535"/>
      <c r="Y38" s="2535"/>
      <c r="Z38" s="2535" t="s">
        <v>546</v>
      </c>
      <c r="AA38" s="2535"/>
      <c r="AB38" s="2535"/>
      <c r="AC38" s="2464" t="s">
        <v>437</v>
      </c>
      <c r="AD38" s="2483"/>
      <c r="AE38" s="2484"/>
      <c r="AF38" s="2448"/>
      <c r="AG38" s="2536" t="s">
        <v>544</v>
      </c>
      <c r="AH38" s="2535" t="s">
        <v>545</v>
      </c>
      <c r="AI38" s="2535"/>
      <c r="AJ38" s="2535"/>
      <c r="AK38" s="2535" t="s">
        <v>546</v>
      </c>
      <c r="AL38" s="2535"/>
      <c r="AM38" s="2535"/>
      <c r="AN38" s="2464" t="s">
        <v>437</v>
      </c>
      <c r="AO38" s="2483"/>
      <c r="AP38" s="2484"/>
      <c r="AQ38" s="2448"/>
      <c r="AR38" s="2451"/>
      <c r="AS38" s="2297"/>
      <c r="AY38" s="1325">
        <v>19</v>
      </c>
    </row>
    <row s="9589"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547</v>
      </c>
      <c r="X39" s="2535" t="s">
        <v>548</v>
      </c>
      <c r="Y39" s="2535"/>
      <c r="Z39" s="2535" t="s">
        <v>549</v>
      </c>
      <c r="AA39" s="2535" t="s">
        <v>548</v>
      </c>
      <c r="AB39" s="2535"/>
      <c r="AC39" s="2465"/>
      <c r="AD39" s="2485"/>
      <c r="AE39" s="2486"/>
      <c r="AF39" s="2448"/>
      <c r="AG39" s="2536"/>
      <c r="AH39" s="2535" t="s">
        <v>547</v>
      </c>
      <c r="AI39" s="2535" t="s">
        <v>548</v>
      </c>
      <c r="AJ39" s="2535"/>
      <c r="AK39" s="2535" t="s">
        <v>549</v>
      </c>
      <c r="AL39" s="2535" t="s">
        <v>548</v>
      </c>
      <c r="AM39" s="2535"/>
      <c r="AN39" s="2465"/>
      <c r="AO39" s="2485"/>
      <c r="AP39" s="2486"/>
      <c r="AQ39" s="2448"/>
      <c r="AR39" s="2451"/>
      <c r="AS39" s="2297"/>
      <c r="AT39" s="1806"/>
      <c r="AU39" s="1806"/>
      <c r="AV39" s="1806"/>
      <c r="AW39" s="1806"/>
      <c r="AX39" s="1806"/>
      <c r="AY39" s="1801">
        <v>19</v>
      </c>
    </row>
    <row customHeight="1" ht="61.949999999999996">
      <c r="A40" s="1540"/>
      <c r="B40" s="1540" t="s">
        <v>134</v>
      </c>
      <c r="C40" s="1540" t="s">
        <v>135</v>
      </c>
      <c r="D40" s="1540" t="s">
        <v>136</v>
      </c>
      <c r="E40" s="1534" t="s">
        <v>438</v>
      </c>
      <c r="F40" s="1534" t="s">
        <v>439</v>
      </c>
      <c r="G40" s="1534" t="s">
        <v>440</v>
      </c>
      <c r="H40" s="1534"/>
      <c r="I40" s="1534" t="s">
        <v>491</v>
      </c>
      <c r="J40" s="1534" t="s">
        <v>443</v>
      </c>
      <c r="K40" s="1534" t="s">
        <v>492</v>
      </c>
      <c r="L40" s="1534" t="s">
        <v>419</v>
      </c>
      <c r="Q40" s="546"/>
      <c r="R40" s="546"/>
      <c r="S40" s="2443"/>
      <c r="T40" s="2379"/>
      <c r="U40" s="472"/>
      <c r="V40" s="2536"/>
      <c r="W40" s="2535"/>
      <c r="X40" s="2153" t="s">
        <v>550</v>
      </c>
      <c r="Y40" s="2153" t="s">
        <v>551</v>
      </c>
      <c r="Z40" s="2535"/>
      <c r="AA40" s="2153" t="s">
        <v>552</v>
      </c>
      <c r="AB40" s="2153" t="s">
        <v>553</v>
      </c>
      <c r="AC40" s="1659" t="s">
        <v>447</v>
      </c>
      <c r="AD40" s="2440" t="s">
        <v>448</v>
      </c>
      <c r="AE40" s="2441"/>
      <c r="AF40" s="2449"/>
      <c r="AG40" s="2536"/>
      <c r="AH40" s="2535"/>
      <c r="AI40" s="2153" t="s">
        <v>550</v>
      </c>
      <c r="AJ40" s="2153" t="s">
        <v>551</v>
      </c>
      <c r="AK40" s="2535"/>
      <c r="AL40" s="2153" t="s">
        <v>552</v>
      </c>
      <c r="AM40" s="2153" t="s">
        <v>553</v>
      </c>
      <c r="AN40" s="1659" t="s">
        <v>447</v>
      </c>
      <c r="AO40" s="2440" t="s">
        <v>448</v>
      </c>
      <c r="AP40" s="2441"/>
      <c r="AQ40" s="2449"/>
      <c r="AR40" s="2452"/>
      <c r="AS40" s="2297"/>
      <c r="AY40" s="1325">
        <v>59</v>
      </c>
    </row>
    <row s="10287"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108</v>
      </c>
      <c r="T41" s="1425" t="s">
        <v>109</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254</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122</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254</v>
      </c>
      <c r="B43" s="1533" t="s">
        <v>255</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400</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401</v>
      </c>
      <c r="AU43" s="670"/>
      <c r="AV43" s="670" t="str">
        <f>IF(T43="","",T43)</f>
        <v>Территория действия тарифа</v>
      </c>
      <c r="AW43" s="670"/>
      <c r="AX43" s="670"/>
      <c r="AY43" s="1325">
        <v>23</v>
      </c>
    </row>
    <row customHeight="1" ht="24">
      <c r="A44" s="1533" t="s">
        <v>254</v>
      </c>
      <c r="B44" s="1533" t="s">
        <v>255</v>
      </c>
      <c r="C44" s="1533" t="s">
        <v>256</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542</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543</v>
      </c>
      <c r="AU44" s="670"/>
      <c r="AV44" s="670" t="str">
        <f>IF(T44="","",T44)</f>
        <v>Наименование централизованной системы горячего водоснабжения</v>
      </c>
      <c r="AW44" s="670"/>
      <c r="AX44" s="670"/>
      <c r="AY44" s="1325">
        <v>23</v>
      </c>
    </row>
    <row customHeight="1" ht="24">
      <c r="A45" s="1533" t="s">
        <v>254</v>
      </c>
      <c r="B45" s="1533" t="s">
        <v>255</v>
      </c>
      <c r="C45" s="1533" t="s">
        <v>256</v>
      </c>
      <c r="D45" s="1533" t="s">
        <v>554</v>
      </c>
      <c r="E45" s="2429"/>
      <c r="F45" s="2429"/>
      <c r="G45" s="2429"/>
      <c r="H45" s="2429"/>
      <c r="I45" s="2426" t="str">
        <f>S44&amp;".1"</f>
        <v>...1</v>
      </c>
      <c r="J45" s="1533"/>
      <c r="K45" s="1533"/>
      <c r="L45" s="1534"/>
      <c r="P45" s="2427">
        <v>1</v>
      </c>
      <c r="Q45" s="1651"/>
      <c r="R45" s="526"/>
      <c r="S45" s="1663" t="str">
        <f>$I45</f>
        <v>...1</v>
      </c>
      <c r="T45" s="455" t="s">
        <v>483</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484</v>
      </c>
      <c r="AU45" s="670"/>
      <c r="AV45" s="670" t="str">
        <f>IF(T45="","",T45)</f>
        <v>Наименование признака дифференциации</v>
      </c>
      <c r="AW45" s="670"/>
      <c r="AX45" s="670"/>
      <c r="AY45" s="1325">
        <v>23</v>
      </c>
    </row>
    <row customHeight="1" ht="24">
      <c r="A46" s="1533" t="s">
        <v>254</v>
      </c>
      <c r="B46" s="1533" t="s">
        <v>255</v>
      </c>
      <c r="C46" s="1533" t="s">
        <v>256</v>
      </c>
      <c r="D46" s="1533" t="s">
        <v>554</v>
      </c>
      <c r="E46" s="2429"/>
      <c r="F46" s="2429"/>
      <c r="G46" s="2429"/>
      <c r="H46" s="2429"/>
      <c r="I46" s="2456"/>
      <c r="J46" s="2426" t="str">
        <f>I45&amp;".1"</f>
        <v>...1.1</v>
      </c>
      <c r="K46" s="1533"/>
      <c r="L46" s="1534" t="s">
        <v>409</v>
      </c>
      <c r="P46" s="2427"/>
      <c r="Q46" s="2427">
        <v>1</v>
      </c>
      <c r="R46" s="527"/>
      <c r="S46" s="1663" t="str">
        <f>$J46</f>
        <v>...1.1</v>
      </c>
      <c r="T46" s="456" t="s">
        <v>410</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485</v>
      </c>
      <c r="AU46" s="670"/>
      <c r="AV46" s="670" t="str">
        <f>IF(T46="","",T46)</f>
        <v>Группа потребителей</v>
      </c>
      <c r="AW46" s="670"/>
      <c r="AX46" s="670"/>
      <c r="AY46" s="1325">
        <v>23</v>
      </c>
    </row>
    <row customHeight="1" ht="24">
      <c r="A47" s="1533" t="s">
        <v>254</v>
      </c>
      <c r="B47" s="1533" t="s">
        <v>255</v>
      </c>
      <c r="C47" s="1533" t="s">
        <v>256</v>
      </c>
      <c r="D47" s="1533" t="s">
        <v>554</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65</v>
      </c>
      <c r="AE47" s="2437"/>
      <c r="AF47" s="2438" t="s">
        <v>65</v>
      </c>
      <c r="AG47" s="921"/>
      <c r="AH47" s="921"/>
      <c r="AI47" s="921"/>
      <c r="AJ47" s="921"/>
      <c r="AK47" s="921"/>
      <c r="AL47" s="921"/>
      <c r="AM47" s="921"/>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254</v>
      </c>
      <c r="B48" s="1533" t="s">
        <v>255</v>
      </c>
      <c r="C48" s="1533" t="s">
        <v>256</v>
      </c>
      <c r="D48" s="1533" t="s">
        <v>554</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254</v>
      </c>
      <c r="B49" s="1533" t="s">
        <v>255</v>
      </c>
      <c r="C49" s="1533" t="s">
        <v>256</v>
      </c>
      <c r="D49" s="1533" t="s">
        <v>554</v>
      </c>
      <c r="E49" s="2429"/>
      <c r="F49" s="2429"/>
      <c r="G49" s="2429"/>
      <c r="H49" s="2429"/>
      <c r="I49" s="2456"/>
      <c r="J49" s="2426"/>
      <c r="K49" s="1533"/>
      <c r="L49" s="1534"/>
      <c r="P49" s="2427"/>
      <c r="Q49" s="2427"/>
      <c r="R49" s="526"/>
      <c r="S49" s="1448"/>
      <c r="T49" s="457" t="s">
        <v>486</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487</v>
      </c>
      <c r="AU49" s="670"/>
      <c r="AV49" s="670" t="str">
        <f>IF(T49="","",T49)</f>
        <v>Добавить значение признака дифференциации</v>
      </c>
      <c r="AW49" s="670"/>
      <c r="AX49" s="670"/>
      <c r="AY49" s="1325">
        <v>20</v>
      </c>
    </row>
    <row customHeight="1" ht="22.049999999999997">
      <c r="A50" s="1533" t="s">
        <v>254</v>
      </c>
      <c r="B50" s="1533" t="s">
        <v>255</v>
      </c>
      <c r="C50" s="1533" t="s">
        <v>256</v>
      </c>
      <c r="D50" s="1533" t="s">
        <v>554</v>
      </c>
      <c r="E50" s="2429"/>
      <c r="F50" s="2429"/>
      <c r="G50" s="2429"/>
      <c r="H50" s="2429"/>
      <c r="I50" s="2426"/>
      <c r="J50" s="1533"/>
      <c r="K50" s="1533"/>
      <c r="L50" s="1534"/>
      <c r="P50" s="2427"/>
      <c r="Q50" s="1651"/>
      <c r="R50" s="526"/>
      <c r="S50" s="1448"/>
      <c r="T50" s="535" t="s">
        <v>415</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254</v>
      </c>
      <c r="B51" s="1533" t="s">
        <v>255</v>
      </c>
      <c r="C51" s="1533" t="s">
        <v>256</v>
      </c>
      <c r="D51" s="1533" t="s">
        <v>554</v>
      </c>
      <c r="E51" s="2429"/>
      <c r="F51" s="2429"/>
      <c r="G51" s="2429"/>
      <c r="H51" s="2428"/>
      <c r="I51" s="1533"/>
      <c r="J51" s="1533"/>
      <c r="K51" s="1533"/>
      <c r="L51" s="1534"/>
      <c r="M51" s="1535"/>
      <c r="N51" s="1535"/>
      <c r="O51" s="707"/>
      <c r="P51" s="530"/>
      <c r="Q51" s="545"/>
      <c r="R51" s="525"/>
      <c r="S51" s="1448"/>
      <c r="T51" s="542" t="s">
        <v>488</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9667" customFormat="1" customHeight="1" ht="0">
      <c r="A52" s="1513" t="s">
        <v>254</v>
      </c>
      <c r="B52" s="1513" t="s">
        <v>255</v>
      </c>
      <c r="C52" s="1484"/>
      <c r="D52" s="1484"/>
      <c r="E52" s="2429"/>
      <c r="F52" s="2428"/>
      <c r="G52" s="1484"/>
      <c r="H52" s="1484"/>
      <c r="I52" s="1484"/>
      <c r="J52" s="1484"/>
      <c r="K52" s="1484"/>
      <c r="L52" s="1664"/>
      <c r="M52" s="1491"/>
      <c r="N52" s="1491"/>
      <c r="P52" s="1486"/>
      <c r="Q52" s="1487"/>
      <c r="R52" s="1486"/>
      <c r="S52" s="1492"/>
      <c r="T52" s="1495" t="s">
        <v>228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9667" customFormat="1" customHeight="1" ht="0">
      <c r="A53" s="1513" t="s">
        <v>254</v>
      </c>
      <c r="B53" s="1513"/>
      <c r="C53" s="1513"/>
      <c r="D53" s="1513"/>
      <c r="E53" s="2428"/>
      <c r="F53" s="1513"/>
      <c r="G53" s="1513"/>
      <c r="H53" s="1513"/>
      <c r="I53" s="1513"/>
      <c r="J53" s="1513"/>
      <c r="K53" s="1513"/>
      <c r="L53" s="1516"/>
      <c r="M53" s="1491"/>
      <c r="N53" s="1491"/>
      <c r="O53" s="688"/>
      <c r="P53" s="550"/>
      <c r="Q53" s="1514"/>
      <c r="R53" s="550"/>
      <c r="S53" s="1492"/>
      <c r="T53" s="1495" t="s">
        <v>229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966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230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C55FC-7574-D082-5CAB-DB90BC8FC3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4.140625" hidden="1" customWidth="1"/>
    <col min="10" max="10" style="9666" width="9.8515625" hidden="1" customWidth="1"/>
    <col min="11" max="11" style="9666" width="14.7109375" hidden="1" customWidth="1"/>
    <col min="12" max="12" style="10531" width="19.140625" hidden="1" customWidth="1"/>
    <col min="13" max="14" style="10532" width="12.28125" hidden="1" customWidth="1"/>
    <col min="15" max="15" style="10532" width="23.421875" hidden="1" customWidth="1"/>
    <col min="16" max="16" style="10533" width="3.00390625" customWidth="1"/>
    <col min="17" max="18" style="10534" width="3.00390625" customWidth="1"/>
    <col min="19" max="19" style="10535" width="12.00390625" customWidth="1"/>
    <col min="20" max="20" style="9589" width="35.00390625" customWidth="1"/>
    <col min="21" max="21" style="9589" width="0.140625" customWidth="1"/>
    <col min="22" max="28" style="9589" width="19.7109375" hidden="1" customWidth="1"/>
    <col min="29" max="29" style="9589" width="11.7109375" hidden="1" customWidth="1"/>
    <col min="30" max="30" style="9589" width="3.7109375" hidden="1" customWidth="1"/>
    <col min="31" max="31" style="9589" width="11.7109375" hidden="1" customWidth="1"/>
    <col min="32" max="32" style="9589" width="8.57421875" hidden="1" customWidth="1"/>
    <col min="33" max="33" style="9589" width="19.7109375" customWidth="1"/>
    <col min="34" max="39" style="9589" width="19.00390625" customWidth="1"/>
    <col min="40" max="40" style="9589" width="11.00390625" customWidth="1"/>
    <col min="41" max="41" style="9589" width="3.7109375" customWidth="1"/>
    <col min="42" max="42" style="9589" width="11.00390625" customWidth="1"/>
    <col min="43" max="43" style="9589" width="8.57421875" hidden="1" customWidth="1"/>
    <col min="44" max="44" style="9589" width="4.00390625" customWidth="1"/>
    <col min="45" max="45" style="9589" width="115.00390625" customWidth="1"/>
    <col min="46" max="50" style="9667" width="10.00390625" customWidth="1"/>
    <col min="51" max="51" style="9589"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122</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400</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401</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542</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543</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484</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409</v>
      </c>
      <c r="P6" s="2427"/>
      <c r="Q6" s="2427">
        <v>1</v>
      </c>
      <c r="R6" s="527"/>
      <c r="S6" s="1663">
        <f>$J6</f>
      </c>
      <c r="T6" s="456" t="s">
        <v>410</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485</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65</v>
      </c>
      <c r="AE7" s="2435"/>
      <c r="AF7" s="2277" t="s">
        <v>65</v>
      </c>
      <c r="AG7" s="921"/>
      <c r="AH7" s="921"/>
      <c r="AI7" s="921"/>
      <c r="AJ7" s="921"/>
      <c r="AK7" s="921"/>
      <c r="AL7" s="921"/>
      <c r="AM7" s="1427"/>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487</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415</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966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228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966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229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65</v>
      </c>
      <c r="AP15" s="2437"/>
      <c r="AQ15" s="2438" t="s">
        <v>65</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9666" customFormat="1" customHeight="1" ht="22.5" hidden="1">
      <c r="L18" s="1648"/>
      <c r="M18" s="1532"/>
      <c r="N18" s="1532"/>
      <c r="O18" s="1537" t="s">
        <v>418</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9666"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9666" customFormat="1" customHeight="1" ht="12" hidden="1">
      <c r="L20" s="1648"/>
      <c r="M20" s="1532"/>
      <c r="N20" s="1532"/>
      <c r="O20" s="1534" t="s">
        <v>419</v>
      </c>
      <c r="P20" s="1532"/>
      <c r="Q20" s="1612"/>
      <c r="R20" s="1612"/>
      <c r="S20" s="899"/>
      <c r="T20" s="1330" t="s">
        <v>420</v>
      </c>
      <c r="W20" s="1536"/>
      <c r="X20" s="1536"/>
      <c r="Y20" s="1536"/>
      <c r="Z20" s="1536"/>
      <c r="AA20" s="1536"/>
      <c r="AD20" s="356" t="s">
        <v>421</v>
      </c>
      <c r="AF20" s="356" t="s">
        <v>422</v>
      </c>
      <c r="AG20" s="1330" t="s">
        <v>420</v>
      </c>
      <c r="AH20" s="1536"/>
      <c r="AI20" s="1536"/>
      <c r="AJ20" s="1536"/>
      <c r="AK20" s="1536"/>
      <c r="AL20" s="1536"/>
      <c r="AO20" s="356" t="s">
        <v>423</v>
      </c>
      <c r="AQ20" s="356" t="s">
        <v>422</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МУП "Водоканал"</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79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9793" customFormat="1" customHeight="1" ht="18.75" hidden="1">
      <c r="A28" s="1538"/>
      <c r="B28" s="1538"/>
      <c r="C28" s="1538"/>
      <c r="D28" s="1538"/>
      <c r="E28" s="1538"/>
      <c r="F28" s="1538"/>
      <c r="G28" s="1538"/>
      <c r="H28" s="1538"/>
      <c r="I28" s="1538"/>
      <c r="J28" s="1538"/>
      <c r="K28" s="1538"/>
      <c r="L28" s="1539"/>
      <c r="M28" s="1538"/>
      <c r="N28" s="1538"/>
      <c r="O28" s="1538"/>
      <c r="S28" s="2420" t="s">
        <v>424</v>
      </c>
      <c r="T28" s="2420"/>
      <c r="U28" s="1542"/>
      <c r="V28" s="2434" t="str">
        <f>IF(TITLE_DATE_PR_CHANGE="",IF(TITLE_DATE_PR="","",TITLE_DATE_PR),TITLE_DATE_PR_CHANGE)</f>
        <v>45408.40866898148</v>
      </c>
      <c r="W28" s="2434"/>
      <c r="X28" s="2434"/>
      <c r="Y28" s="2434"/>
      <c r="Z28" s="2434"/>
      <c r="AA28" s="2434"/>
      <c r="AB28" s="2434"/>
      <c r="AC28" s="2434"/>
      <c r="AD28" s="2434"/>
      <c r="AE28" s="2434"/>
      <c r="AF28" s="496"/>
      <c r="AG28" s="2434" t="str">
        <f>IF(TITLE_DATE_PR_CHANGE="",IF(TITLE_DATE_PR="","",TITLE_DATE_PR),TITLE_DATE_PR_CHANGE)</f>
        <v>45408.40866898148</v>
      </c>
      <c r="AH28" s="2434"/>
      <c r="AI28" s="2434"/>
      <c r="AJ28" s="2434"/>
      <c r="AK28" s="2434"/>
      <c r="AL28" s="2434"/>
      <c r="AM28" s="2434"/>
      <c r="AN28" s="2434"/>
      <c r="AO28" s="2434"/>
      <c r="AP28" s="2434"/>
      <c r="AQ28" s="496"/>
      <c r="AR28" s="496"/>
      <c r="AS28" s="450"/>
      <c r="AT28" s="538"/>
      <c r="AU28" s="538"/>
      <c r="AV28" s="538"/>
      <c r="AW28" s="538"/>
      <c r="AX28" s="538"/>
      <c r="AY28" s="588">
        <v>0</v>
      </c>
    </row>
    <row s="9793" customFormat="1" customHeight="1" ht="18.75" hidden="1">
      <c r="A29" s="1538"/>
      <c r="B29" s="1538"/>
      <c r="C29" s="1538"/>
      <c r="D29" s="1538"/>
      <c r="E29" s="1538"/>
      <c r="F29" s="1538"/>
      <c r="G29" s="1538"/>
      <c r="H29" s="1538"/>
      <c r="I29" s="1538"/>
      <c r="J29" s="1538"/>
      <c r="K29" s="1538"/>
      <c r="L29" s="1539"/>
      <c r="M29" s="1538"/>
      <c r="N29" s="1538"/>
      <c r="O29" s="1538"/>
      <c r="S29" s="2420" t="s">
        <v>425</v>
      </c>
      <c r="T29" s="2420"/>
      <c r="U29" s="1542"/>
      <c r="V29" s="2421" t="str">
        <f>IF(TITLE_NUMBER_PR_CHANGE="",IF(TITLE_NUMBER_PR="","",TITLE_NUMBER_PR),TITLE_NUMBER_PR_CHANGE)</f>
        <v>1005,1062</v>
      </c>
      <c r="W29" s="2421"/>
      <c r="X29" s="2421"/>
      <c r="Y29" s="2421"/>
      <c r="Z29" s="2421"/>
      <c r="AA29" s="2421"/>
      <c r="AB29" s="2421"/>
      <c r="AC29" s="2421"/>
      <c r="AD29" s="2421"/>
      <c r="AE29" s="2421"/>
      <c r="AF29" s="496"/>
      <c r="AG29" s="2421" t="str">
        <f>IF(TITLE_NUMBER_PR_CHANGE="",IF(TITLE_NUMBER_PR="","",TITLE_NUMBER_PR),TITLE_NUMBER_PR_CHANGE)</f>
        <v>1005,1062</v>
      </c>
      <c r="AH29" s="2421"/>
      <c r="AI29" s="2421"/>
      <c r="AJ29" s="2421"/>
      <c r="AK29" s="2421"/>
      <c r="AL29" s="2421"/>
      <c r="AM29" s="2421"/>
      <c r="AN29" s="2421"/>
      <c r="AO29" s="2421"/>
      <c r="AP29" s="2421"/>
      <c r="AQ29" s="496"/>
      <c r="AR29" s="496"/>
      <c r="AS29" s="450"/>
      <c r="AT29" s="538"/>
      <c r="AU29" s="538"/>
      <c r="AV29" s="538"/>
      <c r="AW29" s="538"/>
      <c r="AX29" s="538"/>
      <c r="AY29" s="588">
        <v>0</v>
      </c>
    </row>
    <row s="979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793" customFormat="1" customHeight="1" ht="18.75">
      <c r="A32" s="1538"/>
      <c r="B32" s="1538"/>
      <c r="C32" s="1538"/>
      <c r="D32" s="1538"/>
      <c r="E32" s="1538"/>
      <c r="F32" s="1538"/>
      <c r="G32" s="1538"/>
      <c r="H32" s="1538"/>
      <c r="I32" s="1538"/>
      <c r="J32" s="1538"/>
      <c r="K32" s="1538"/>
      <c r="L32" s="1539"/>
      <c r="M32" s="1538"/>
      <c r="N32" s="1538"/>
      <c r="O32" s="1538"/>
      <c r="S32" s="2420" t="s">
        <v>426</v>
      </c>
      <c r="T32" s="2420"/>
      <c r="U32" s="1542"/>
      <c r="V32" s="2434" t="str">
        <f>IF(TITLE_DATE_PR_CHANGE="",IF(TITLE_DATE_PR="","",TITLE_DATE_PR),TITLE_DATE_PR_CHANGE)</f>
        <v>45408.40866898148</v>
      </c>
      <c r="W32" s="2434"/>
      <c r="X32" s="2434"/>
      <c r="Y32" s="2434"/>
      <c r="Z32" s="2434"/>
      <c r="AA32" s="2434"/>
      <c r="AB32" s="2434"/>
      <c r="AC32" s="2434"/>
      <c r="AD32" s="2434"/>
      <c r="AE32" s="2434"/>
      <c r="AF32" s="496"/>
      <c r="AG32" s="2434" t="str">
        <f>IF(TITLE_DATE_PR_CHANGE="",IF(TITLE_DATE_PR="","",TITLE_DATE_PR),TITLE_DATE_PR_CHANGE)</f>
        <v>45408.40866898148</v>
      </c>
      <c r="AH32" s="2434"/>
      <c r="AI32" s="2434"/>
      <c r="AJ32" s="2434"/>
      <c r="AK32" s="2434"/>
      <c r="AL32" s="2434"/>
      <c r="AM32" s="2434"/>
      <c r="AN32" s="2434"/>
      <c r="AO32" s="2434"/>
      <c r="AP32" s="2434"/>
      <c r="AQ32" s="496"/>
      <c r="AR32" s="496"/>
      <c r="AS32" s="450"/>
      <c r="AT32" s="538"/>
      <c r="AU32" s="538"/>
      <c r="AV32" s="538"/>
      <c r="AW32" s="538"/>
      <c r="AX32" s="538"/>
      <c r="AY32" s="588">
        <v>0</v>
      </c>
    </row>
    <row s="9793" customFormat="1" customHeight="1" ht="18.75">
      <c r="A33" s="1538"/>
      <c r="B33" s="1538"/>
      <c r="C33" s="1538"/>
      <c r="D33" s="1538"/>
      <c r="E33" s="1538"/>
      <c r="F33" s="1538"/>
      <c r="G33" s="1538"/>
      <c r="H33" s="1538"/>
      <c r="I33" s="1538"/>
      <c r="J33" s="1538"/>
      <c r="K33" s="1538"/>
      <c r="L33" s="1539"/>
      <c r="M33" s="1538"/>
      <c r="N33" s="1538"/>
      <c r="O33" s="1538"/>
      <c r="S33" s="2420" t="s">
        <v>427</v>
      </c>
      <c r="T33" s="2420"/>
      <c r="U33" s="1542"/>
      <c r="V33" s="2421" t="str">
        <f>IF(TITLE_NUMBER_PR_CHANGE="",IF(TITLE_NUMBER_PR="","",TITLE_NUMBER_PR),TITLE_NUMBER_PR_CHANGE)</f>
        <v>1005,1062</v>
      </c>
      <c r="W33" s="2421"/>
      <c r="X33" s="2421"/>
      <c r="Y33" s="2421"/>
      <c r="Z33" s="2421"/>
      <c r="AA33" s="2421"/>
      <c r="AB33" s="2421"/>
      <c r="AC33" s="2421"/>
      <c r="AD33" s="2421"/>
      <c r="AE33" s="2421"/>
      <c r="AF33" s="496"/>
      <c r="AG33" s="2421" t="str">
        <f>IF(TITLE_NUMBER_PR_CHANGE="",IF(TITLE_NUMBER_PR="","",TITLE_NUMBER_PR),TITLE_NUMBER_PR_CHANGE)</f>
        <v>1005,1062</v>
      </c>
      <c r="AH33" s="2421"/>
      <c r="AI33" s="2421"/>
      <c r="AJ33" s="2421"/>
      <c r="AK33" s="2421"/>
      <c r="AL33" s="2421"/>
      <c r="AM33" s="2421"/>
      <c r="AN33" s="2421"/>
      <c r="AO33" s="2421"/>
      <c r="AP33" s="2421"/>
      <c r="AQ33" s="496"/>
      <c r="AR33" s="496"/>
      <c r="AS33" s="450"/>
      <c r="AT33" s="538"/>
      <c r="AU33" s="538"/>
      <c r="AV33" s="538"/>
      <c r="AW33" s="538"/>
      <c r="AX33" s="538"/>
      <c r="AY33" s="588">
        <v>0</v>
      </c>
    </row>
    <row s="979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428</v>
      </c>
      <c r="AG34" s="496"/>
      <c r="AH34" s="1805"/>
      <c r="AI34" s="1805"/>
      <c r="AJ34" s="1805"/>
      <c r="AK34" s="1805"/>
      <c r="AL34" s="1805"/>
      <c r="AM34" s="496"/>
      <c r="AN34" s="496"/>
      <c r="AO34" s="496"/>
      <c r="AP34" s="496"/>
      <c r="AQ34" s="448" t="s">
        <v>428</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303</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304</v>
      </c>
      <c r="AY36" s="1325">
        <v>14</v>
      </c>
    </row>
    <row customHeight="1" ht="14.699999999999998">
      <c r="Q37" s="546"/>
      <c r="R37" s="546"/>
      <c r="S37" s="2443" t="s">
        <v>87</v>
      </c>
      <c r="T37" s="2379" t="s">
        <v>429</v>
      </c>
      <c r="U37" s="471"/>
      <c r="V37" s="2444" t="s">
        <v>430</v>
      </c>
      <c r="W37" s="2445"/>
      <c r="X37" s="2445"/>
      <c r="Y37" s="2445"/>
      <c r="Z37" s="2445"/>
      <c r="AA37" s="2445"/>
      <c r="AB37" s="2445"/>
      <c r="AC37" s="2445"/>
      <c r="AD37" s="2445"/>
      <c r="AE37" s="2446"/>
      <c r="AF37" s="2447" t="s">
        <v>431</v>
      </c>
      <c r="AG37" s="2444" t="s">
        <v>430</v>
      </c>
      <c r="AH37" s="2445"/>
      <c r="AI37" s="2445"/>
      <c r="AJ37" s="2445"/>
      <c r="AK37" s="2445"/>
      <c r="AL37" s="2445"/>
      <c r="AM37" s="2445"/>
      <c r="AN37" s="2445"/>
      <c r="AO37" s="2445"/>
      <c r="AP37" s="2446"/>
      <c r="AQ37" s="2447" t="s">
        <v>432</v>
      </c>
      <c r="AR37" s="2450" t="s">
        <v>433</v>
      </c>
      <c r="AS37" s="2297"/>
      <c r="AY37" s="1325">
        <v>14</v>
      </c>
    </row>
    <row s="9589"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544</v>
      </c>
      <c r="W38" s="2535" t="s">
        <v>545</v>
      </c>
      <c r="X38" s="2535"/>
      <c r="Y38" s="2535"/>
      <c r="Z38" s="2535" t="s">
        <v>546</v>
      </c>
      <c r="AA38" s="2535"/>
      <c r="AB38" s="2535"/>
      <c r="AC38" s="2464" t="s">
        <v>437</v>
      </c>
      <c r="AD38" s="2483"/>
      <c r="AE38" s="2484"/>
      <c r="AF38" s="2448"/>
      <c r="AG38" s="2536" t="s">
        <v>544</v>
      </c>
      <c r="AH38" s="2535" t="s">
        <v>545</v>
      </c>
      <c r="AI38" s="2535"/>
      <c r="AJ38" s="2535"/>
      <c r="AK38" s="2535" t="s">
        <v>546</v>
      </c>
      <c r="AL38" s="2535"/>
      <c r="AM38" s="2535"/>
      <c r="AN38" s="2464" t="s">
        <v>437</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547</v>
      </c>
      <c r="X39" s="2535" t="s">
        <v>548</v>
      </c>
      <c r="Y39" s="2535"/>
      <c r="Z39" s="2535" t="s">
        <v>549</v>
      </c>
      <c r="AA39" s="2535" t="s">
        <v>548</v>
      </c>
      <c r="AB39" s="2535"/>
      <c r="AC39" s="2465"/>
      <c r="AD39" s="2485"/>
      <c r="AE39" s="2486"/>
      <c r="AF39" s="2448"/>
      <c r="AG39" s="2536"/>
      <c r="AH39" s="2535" t="s">
        <v>547</v>
      </c>
      <c r="AI39" s="2535" t="s">
        <v>548</v>
      </c>
      <c r="AJ39" s="2535"/>
      <c r="AK39" s="2535" t="s">
        <v>549</v>
      </c>
      <c r="AL39" s="2535" t="s">
        <v>548</v>
      </c>
      <c r="AM39" s="2535"/>
      <c r="AN39" s="2465"/>
      <c r="AO39" s="2485"/>
      <c r="AP39" s="2486"/>
      <c r="AQ39" s="2448"/>
      <c r="AR39" s="2451"/>
      <c r="AS39" s="2297"/>
      <c r="AY39" s="1325">
        <v>19</v>
      </c>
    </row>
    <row customHeight="1" ht="61.949999999999996">
      <c r="A40" s="1540"/>
      <c r="B40" s="1540" t="s">
        <v>134</v>
      </c>
      <c r="C40" s="1540" t="s">
        <v>135</v>
      </c>
      <c r="D40" s="1540" t="s">
        <v>136</v>
      </c>
      <c r="E40" s="1534" t="s">
        <v>438</v>
      </c>
      <c r="F40" s="1534" t="s">
        <v>439</v>
      </c>
      <c r="G40" s="1534" t="s">
        <v>440</v>
      </c>
      <c r="H40" s="1534"/>
      <c r="I40" s="1534" t="s">
        <v>491</v>
      </c>
      <c r="J40" s="1534" t="s">
        <v>443</v>
      </c>
      <c r="K40" s="1534" t="s">
        <v>492</v>
      </c>
      <c r="L40" s="1534" t="s">
        <v>419</v>
      </c>
      <c r="Q40" s="546"/>
      <c r="R40" s="546"/>
      <c r="S40" s="2443"/>
      <c r="T40" s="2379"/>
      <c r="U40" s="472"/>
      <c r="V40" s="2536"/>
      <c r="W40" s="2535"/>
      <c r="X40" s="2153" t="s">
        <v>550</v>
      </c>
      <c r="Y40" s="2153" t="s">
        <v>551</v>
      </c>
      <c r="Z40" s="2535"/>
      <c r="AA40" s="2153" t="s">
        <v>552</v>
      </c>
      <c r="AB40" s="2153" t="s">
        <v>553</v>
      </c>
      <c r="AC40" s="1659" t="s">
        <v>447</v>
      </c>
      <c r="AD40" s="2440" t="s">
        <v>448</v>
      </c>
      <c r="AE40" s="2441"/>
      <c r="AF40" s="2449"/>
      <c r="AG40" s="2536"/>
      <c r="AH40" s="2535"/>
      <c r="AI40" s="2153" t="s">
        <v>550</v>
      </c>
      <c r="AJ40" s="2153" t="s">
        <v>551</v>
      </c>
      <c r="AK40" s="2535"/>
      <c r="AL40" s="2153" t="s">
        <v>552</v>
      </c>
      <c r="AM40" s="2153" t="s">
        <v>553</v>
      </c>
      <c r="AN40" s="1659" t="s">
        <v>447</v>
      </c>
      <c r="AO40" s="2440" t="s">
        <v>448</v>
      </c>
      <c r="AP40" s="2441"/>
      <c r="AQ40" s="2449"/>
      <c r="AR40" s="2452"/>
      <c r="AS40" s="2297"/>
      <c r="AY40" s="1325">
        <v>59</v>
      </c>
    </row>
    <row s="10287"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108</v>
      </c>
      <c r="T41" s="1425" t="s">
        <v>109</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259</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122</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259</v>
      </c>
      <c r="B43" s="1533" t="s">
        <v>260</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400</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401</v>
      </c>
      <c r="AU43" s="670"/>
      <c r="AV43" s="670" t="str">
        <f>IF(T43="","",T43)</f>
        <v>Территория действия тарифа</v>
      </c>
      <c r="AW43" s="670"/>
      <c r="AX43" s="670"/>
      <c r="AY43" s="1325">
        <v>23</v>
      </c>
    </row>
    <row customHeight="1" ht="24">
      <c r="A44" s="1533" t="s">
        <v>259</v>
      </c>
      <c r="B44" s="1533" t="s">
        <v>260</v>
      </c>
      <c r="C44" s="1533" t="s">
        <v>261</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542</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543</v>
      </c>
      <c r="AU44" s="670"/>
      <c r="AV44" s="670" t="str">
        <f>IF(T44="","",T44)</f>
        <v>Наименование централизованной системы горячего водоснабжения</v>
      </c>
      <c r="AW44" s="670"/>
      <c r="AX44" s="670"/>
      <c r="AY44" s="1325">
        <v>23</v>
      </c>
    </row>
    <row customHeight="1" ht="24">
      <c r="A45" s="1533" t="s">
        <v>259</v>
      </c>
      <c r="B45" s="1533" t="s">
        <v>260</v>
      </c>
      <c r="C45" s="1533" t="s">
        <v>261</v>
      </c>
      <c r="D45" s="1533" t="s">
        <v>555</v>
      </c>
      <c r="E45" s="2429"/>
      <c r="F45" s="2429"/>
      <c r="G45" s="2429"/>
      <c r="H45" s="2429"/>
      <c r="I45" s="2426" t="str">
        <f>S44&amp;".1"</f>
        <v>...1</v>
      </c>
      <c r="J45" s="1533"/>
      <c r="K45" s="1533"/>
      <c r="L45" s="1534"/>
      <c r="P45" s="2427">
        <v>1</v>
      </c>
      <c r="Q45" s="1651"/>
      <c r="R45" s="526"/>
      <c r="S45" s="1663" t="str">
        <f>$I45</f>
        <v>...1</v>
      </c>
      <c r="T45" s="455" t="s">
        <v>483</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484</v>
      </c>
      <c r="AU45" s="670"/>
      <c r="AV45" s="670" t="str">
        <f>IF(T45="","",T45)</f>
        <v>Наименование признака дифференциации</v>
      </c>
      <c r="AW45" s="670"/>
      <c r="AX45" s="670"/>
      <c r="AY45" s="1325">
        <v>23</v>
      </c>
    </row>
    <row customHeight="1" ht="24">
      <c r="A46" s="1533" t="s">
        <v>259</v>
      </c>
      <c r="B46" s="1533" t="s">
        <v>260</v>
      </c>
      <c r="C46" s="1533" t="s">
        <v>261</v>
      </c>
      <c r="D46" s="1533" t="s">
        <v>555</v>
      </c>
      <c r="E46" s="2429"/>
      <c r="F46" s="2429"/>
      <c r="G46" s="2429"/>
      <c r="H46" s="2429"/>
      <c r="I46" s="2456"/>
      <c r="J46" s="2426" t="str">
        <f>I45&amp;".1"</f>
        <v>...1.1</v>
      </c>
      <c r="K46" s="1533"/>
      <c r="L46" s="1534" t="s">
        <v>409</v>
      </c>
      <c r="P46" s="2427"/>
      <c r="Q46" s="2427">
        <v>1</v>
      </c>
      <c r="R46" s="527"/>
      <c r="S46" s="1663" t="str">
        <f>$J46</f>
        <v>...1.1</v>
      </c>
      <c r="T46" s="456" t="s">
        <v>410</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485</v>
      </c>
      <c r="AU46" s="670"/>
      <c r="AV46" s="670" t="str">
        <f>IF(T46="","",T46)</f>
        <v>Группа потребителей</v>
      </c>
      <c r="AW46" s="670"/>
      <c r="AX46" s="670"/>
      <c r="AY46" s="1325">
        <v>23</v>
      </c>
    </row>
    <row customHeight="1" ht="24">
      <c r="A47" s="1533" t="s">
        <v>259</v>
      </c>
      <c r="B47" s="1533" t="s">
        <v>260</v>
      </c>
      <c r="C47" s="1533" t="s">
        <v>261</v>
      </c>
      <c r="D47" s="1533" t="s">
        <v>555</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65</v>
      </c>
      <c r="AE47" s="2437"/>
      <c r="AF47" s="2438" t="s">
        <v>65</v>
      </c>
      <c r="AG47" s="921"/>
      <c r="AH47" s="921"/>
      <c r="AI47" s="921"/>
      <c r="AJ47" s="921"/>
      <c r="AK47" s="921"/>
      <c r="AL47" s="921"/>
      <c r="AM47" s="1427"/>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259</v>
      </c>
      <c r="B48" s="1533" t="s">
        <v>260</v>
      </c>
      <c r="C48" s="1533" t="s">
        <v>261</v>
      </c>
      <c r="D48" s="1533" t="s">
        <v>555</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259</v>
      </c>
      <c r="B49" s="1533" t="s">
        <v>260</v>
      </c>
      <c r="C49" s="1533" t="s">
        <v>261</v>
      </c>
      <c r="D49" s="1533" t="s">
        <v>555</v>
      </c>
      <c r="E49" s="2429"/>
      <c r="F49" s="2429"/>
      <c r="G49" s="2429"/>
      <c r="H49" s="2429"/>
      <c r="I49" s="2456"/>
      <c r="J49" s="2426"/>
      <c r="K49" s="1533"/>
      <c r="L49" s="1534"/>
      <c r="P49" s="2427"/>
      <c r="Q49" s="2427"/>
      <c r="R49" s="526"/>
      <c r="S49" s="1448"/>
      <c r="T49" s="457" t="s">
        <v>486</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487</v>
      </c>
      <c r="AU49" s="670"/>
      <c r="AV49" s="670" t="str">
        <f>IF(T49="","",T49)</f>
        <v>Добавить значение признака дифференциации</v>
      </c>
      <c r="AW49" s="670"/>
      <c r="AX49" s="670"/>
      <c r="AY49" s="1325">
        <v>20</v>
      </c>
    </row>
    <row customHeight="1" ht="22.049999999999997">
      <c r="A50" s="1533" t="s">
        <v>259</v>
      </c>
      <c r="B50" s="1533" t="s">
        <v>260</v>
      </c>
      <c r="C50" s="1533" t="s">
        <v>261</v>
      </c>
      <c r="D50" s="1533" t="s">
        <v>555</v>
      </c>
      <c r="E50" s="2429"/>
      <c r="F50" s="2429"/>
      <c r="G50" s="2429"/>
      <c r="H50" s="2429"/>
      <c r="I50" s="2426"/>
      <c r="J50" s="1533"/>
      <c r="K50" s="1533"/>
      <c r="L50" s="1534"/>
      <c r="P50" s="2427"/>
      <c r="Q50" s="1651"/>
      <c r="R50" s="526"/>
      <c r="S50" s="1448"/>
      <c r="T50" s="535" t="s">
        <v>415</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259</v>
      </c>
      <c r="B51" s="1533" t="s">
        <v>260</v>
      </c>
      <c r="C51" s="1533" t="s">
        <v>261</v>
      </c>
      <c r="D51" s="1533" t="s">
        <v>555</v>
      </c>
      <c r="E51" s="2429"/>
      <c r="F51" s="2429"/>
      <c r="G51" s="2429"/>
      <c r="H51" s="2428"/>
      <c r="I51" s="1533"/>
      <c r="J51" s="1533"/>
      <c r="K51" s="1533"/>
      <c r="L51" s="1534"/>
      <c r="M51" s="1535"/>
      <c r="N51" s="1535"/>
      <c r="O51" s="707"/>
      <c r="P51" s="530"/>
      <c r="Q51" s="545"/>
      <c r="R51" s="525"/>
      <c r="S51" s="1448"/>
      <c r="T51" s="542" t="s">
        <v>488</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9667" customFormat="1" customHeight="1" ht="0">
      <c r="A52" s="1513" t="s">
        <v>259</v>
      </c>
      <c r="B52" s="1513" t="s">
        <v>260</v>
      </c>
      <c r="C52" s="1484"/>
      <c r="D52" s="1484"/>
      <c r="E52" s="2429"/>
      <c r="F52" s="2428"/>
      <c r="G52" s="1484"/>
      <c r="H52" s="1484"/>
      <c r="I52" s="1484"/>
      <c r="J52" s="1484"/>
      <c r="K52" s="1484"/>
      <c r="L52" s="1664"/>
      <c r="M52" s="1491"/>
      <c r="N52" s="1491"/>
      <c r="P52" s="1486"/>
      <c r="Q52" s="1487"/>
      <c r="R52" s="1486"/>
      <c r="S52" s="1492"/>
      <c r="T52" s="1495" t="s">
        <v>228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9667" customFormat="1" customHeight="1" ht="0">
      <c r="A53" s="1513" t="s">
        <v>259</v>
      </c>
      <c r="B53" s="1513"/>
      <c r="C53" s="1513"/>
      <c r="D53" s="1513"/>
      <c r="E53" s="2428"/>
      <c r="F53" s="1513"/>
      <c r="G53" s="1513"/>
      <c r="H53" s="1513"/>
      <c r="I53" s="1513"/>
      <c r="J53" s="1513"/>
      <c r="K53" s="1513"/>
      <c r="L53" s="1516"/>
      <c r="M53" s="1491"/>
      <c r="N53" s="1491"/>
      <c r="O53" s="688"/>
      <c r="P53" s="550"/>
      <c r="Q53" s="1514"/>
      <c r="R53" s="550"/>
      <c r="S53" s="1492"/>
      <c r="T53" s="1495" t="s">
        <v>229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966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230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CFC94-1185-D364-67D1-12F630CADB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9666" width="11.57421875" hidden="1" customWidth="1"/>
    <col min="2" max="2" style="9666" width="11.00390625" hidden="1" customWidth="1"/>
    <col min="3" max="3" style="9666" width="10.57421875" hidden="1"/>
    <col min="4" max="4" style="9666" width="12.8515625" hidden="1" customWidth="1"/>
    <col min="5" max="5" style="9666" width="10.00390625" hidden="1" customWidth="1"/>
    <col min="6" max="6" style="9666" width="8.7109375" hidden="1" customWidth="1"/>
    <col min="7" max="7" style="9666" width="7.57421875" hidden="1" customWidth="1"/>
    <col min="8" max="8" style="9666" width="11.421875" hidden="1" customWidth="1"/>
    <col min="9" max="9" style="9666" width="12.00390625" hidden="1" customWidth="1"/>
    <col min="10" max="10" style="9666" width="9.8515625" hidden="1" customWidth="1"/>
    <col min="11" max="11" style="9666" width="11.421875" hidden="1" customWidth="1"/>
    <col min="12" max="12" style="10531" width="19.140625" hidden="1" customWidth="1"/>
    <col min="13" max="14" style="10532" width="12.28125" hidden="1" customWidth="1"/>
    <col min="15" max="15" style="10532" width="23.421875" hidden="1" customWidth="1"/>
    <col min="16" max="16" style="10532" width="3.7109375" hidden="1" customWidth="1"/>
    <col min="17" max="17" style="10718" width="3.7109375" hidden="1" customWidth="1"/>
    <col min="18" max="18" style="10534" width="3.00390625" customWidth="1"/>
    <col min="19" max="19" style="10535" width="12.00390625" customWidth="1"/>
    <col min="20" max="20" style="9589" width="31.00390625" customWidth="1"/>
    <col min="21" max="21" style="9589" width="0.140625" customWidth="1"/>
    <col min="22" max="25" style="9589" width="21.7109375" hidden="1" customWidth="1"/>
    <col min="26" max="26" style="9589" width="11.7109375" hidden="1" customWidth="1"/>
    <col min="27" max="27" style="9589" width="3.7109375" hidden="1" customWidth="1"/>
    <col min="28" max="28" style="9589" width="11.7109375" hidden="1" customWidth="1"/>
    <col min="29" max="29" style="9589" width="8.57421875" hidden="1" customWidth="1"/>
    <col min="30" max="30" style="9589" width="3.7109375" customWidth="1"/>
    <col min="31" max="32" style="9589" width="3.00390625" customWidth="1"/>
    <col min="33" max="33" style="9589" width="24.00390625" customWidth="1"/>
    <col min="34" max="34" style="9589" width="3.7109375" customWidth="1"/>
    <col min="35" max="36" style="9589" width="3.00390625" customWidth="1"/>
    <col min="37" max="37" style="9589" width="24.00390625" customWidth="1"/>
    <col min="38" max="38" style="9589" width="3.7109375" customWidth="1"/>
    <col min="39" max="40" style="9589" width="3.00390625" customWidth="1"/>
    <col min="41" max="41" style="9589" width="18.00390625" customWidth="1"/>
    <col min="42" max="42" style="9589" width="3.7109375" customWidth="1"/>
    <col min="43" max="44" style="9589" width="3.00390625" customWidth="1"/>
    <col min="45" max="45" style="9589" width="18.00390625" customWidth="1"/>
    <col min="46" max="49" style="9589" width="21.00390625" customWidth="1"/>
    <col min="50" max="50" style="9589" width="11.00390625" customWidth="1"/>
    <col min="51" max="51" style="9589" width="3.7109375" customWidth="1"/>
    <col min="52" max="52" style="9589" width="11.00390625" customWidth="1"/>
    <col min="53" max="53" style="9589" width="8.57421875" hidden="1" customWidth="1"/>
    <col min="54" max="54" style="9589" width="4.00390625" customWidth="1"/>
    <col min="55" max="55" style="9589" width="115.00390625" customWidth="1"/>
    <col min="56" max="60" style="9667" width="10.00390625" customWidth="1"/>
    <col min="61" max="61" style="958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122</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400</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401</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542</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543</v>
      </c>
      <c r="BE4" s="670"/>
      <c r="BF4" s="670" t="str">
        <f>IF(T4="","",T4)</f>
        <v>Наименование централизованной системы горячего водоснабжения</v>
      </c>
      <c r="BG4" s="670"/>
      <c r="BH4" s="670"/>
      <c r="BI4" s="1325">
        <v>0</v>
      </c>
    </row>
    <row s="966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405</v>
      </c>
      <c r="BE5" s="670"/>
      <c r="BF5" s="670" t="str">
        <f>IF(T5="","",T5)</f>
        <v/>
      </c>
      <c r="BG5" s="670"/>
      <c r="BH5" s="670"/>
      <c r="BI5" s="681">
        <v>0</v>
      </c>
    </row>
    <row s="9667" customFormat="1" customHeight="1" ht="14.25" hidden="1">
      <c r="A6" s="1513"/>
      <c r="B6" s="1513"/>
      <c r="C6" s="1513"/>
      <c r="D6" s="1513"/>
      <c r="E6" s="2429"/>
      <c r="F6" s="2429"/>
      <c r="G6" s="2429"/>
      <c r="H6" s="2429"/>
      <c r="I6" s="2426" t="str">
        <f>S5&amp;".1"</f>
        <v>.1</v>
      </c>
      <c r="J6" s="1513"/>
      <c r="K6" s="1513"/>
      <c r="L6" s="1516" t="s">
        <v>406</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66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28</v>
      </c>
      <c r="AL8" s="2277" t="s">
        <v>65</v>
      </c>
      <c r="AM8" s="2362"/>
      <c r="AN8" s="2375">
        <v>1</v>
      </c>
      <c r="AO8" s="2527"/>
      <c r="AP8" s="2528" t="s">
        <v>65</v>
      </c>
      <c r="AQ8" s="481"/>
      <c r="AR8" s="1656">
        <v>1</v>
      </c>
      <c r="AS8" s="1662" t="s">
        <v>28</v>
      </c>
      <c r="AT8" s="921"/>
      <c r="AU8" s="1427"/>
      <c r="AV8" s="921"/>
      <c r="AW8" s="1427"/>
      <c r="AX8" s="1904"/>
      <c r="AY8" s="1639" t="s">
        <v>65</v>
      </c>
      <c r="AZ8" s="1904"/>
      <c r="BA8" s="1639" t="s">
        <v>65</v>
      </c>
      <c r="BB8" s="1518"/>
      <c r="BC8" s="2423" t="s">
        <v>503</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504</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505</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506</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507</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66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66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66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66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228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66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229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89" customFormat="1" customHeight="1" ht="14.25" hidden="1">
      <c r="M24" s="1678"/>
      <c r="N24" s="1678"/>
      <c r="O24" s="1679" t="s">
        <v>419</v>
      </c>
      <c r="P24" s="1678"/>
      <c r="Q24" s="1680"/>
      <c r="R24" s="1680"/>
      <c r="AA24" s="1677" t="s">
        <v>421</v>
      </c>
      <c r="AC24" s="1677" t="s">
        <v>422</v>
      </c>
      <c r="AD24" s="1677" t="s">
        <v>469</v>
      </c>
      <c r="AH24" s="1677" t="s">
        <v>469</v>
      </c>
      <c r="AK24" s="1677" t="s">
        <v>508</v>
      </c>
      <c r="AL24" s="1677" t="s">
        <v>469</v>
      </c>
      <c r="AP24" s="1677" t="s">
        <v>469</v>
      </c>
      <c r="AY24" s="1677" t="s">
        <v>421</v>
      </c>
      <c r="BA24" s="1677" t="s">
        <v>422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"Водоканал"</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79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79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424</v>
      </c>
      <c r="T32" s="2420"/>
      <c r="U32" s="1542"/>
      <c r="V32" s="2434" t="str">
        <f>IF(TITLE_DATE_PR_CHANGE="",IF(TITLE_DATE_PR="","",TITLE_DATE_PR),TITLE_DATE_PR_CHANGE)</f>
        <v>45408.40866898148</v>
      </c>
      <c r="W32" s="2434"/>
      <c r="X32" s="2434"/>
      <c r="Y32" s="2434"/>
      <c r="Z32" s="2434"/>
      <c r="AA32" s="2434"/>
      <c r="AB32" s="2434"/>
      <c r="AC32" s="496"/>
      <c r="AD32" s="2434" t="str">
        <f>IF(TITLE_DATE_PR_CHANGE="",IF(TITLE_DATE_PR="","",TITLE_DATE_PR),TITLE_DATE_PR_CHANGE)</f>
        <v>45408.40866898148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79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425</v>
      </c>
      <c r="T33" s="2420"/>
      <c r="U33" s="1542"/>
      <c r="V33" s="2421" t="str">
        <f>IF(TITLE_NUMBER_PR_CHANGE="",IF(TITLE_NUMBER_PR="","",TITLE_NUMBER_PR),TITLE_NUMBER_PR_CHANGE)</f>
        <v>1005,1062</v>
      </c>
      <c r="W33" s="2421"/>
      <c r="X33" s="2421"/>
      <c r="Y33" s="2421"/>
      <c r="Z33" s="2421"/>
      <c r="AA33" s="2421"/>
      <c r="AB33" s="2421"/>
      <c r="AC33" s="496"/>
      <c r="AD33" s="2421" t="str">
        <f>IF(TITLE_NUMBER_PR_CHANGE="",IF(TITLE_NUMBER_PR="","",TITLE_NUMBER_PR),TITLE_NUMBER_PR_CHANGE)</f>
        <v>1005,1062</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79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793" customFormat="1" customHeight="1" ht="18.75">
      <c r="A36" s="1538"/>
      <c r="B36" s="1538"/>
      <c r="C36" s="1538"/>
      <c r="D36" s="1538"/>
      <c r="E36" s="1538"/>
      <c r="F36" s="1538"/>
      <c r="G36" s="1538"/>
      <c r="H36" s="1538"/>
      <c r="I36" s="1538"/>
      <c r="J36" s="1538"/>
      <c r="K36" s="1538"/>
      <c r="L36" s="1539"/>
      <c r="M36" s="1538"/>
      <c r="N36" s="1538"/>
      <c r="O36" s="1538"/>
      <c r="P36" s="1538"/>
      <c r="Q36" s="1538"/>
      <c r="S36" s="2420" t="s">
        <v>424</v>
      </c>
      <c r="T36" s="2420"/>
      <c r="U36" s="1542"/>
      <c r="V36" s="2434" t="str">
        <f>IF(TITLE_DATE_PR_CHANGE="",IF(TITLE_DATE_PR="","",TITLE_DATE_PR),TITLE_DATE_PR_CHANGE)</f>
        <v>45408.40866898148</v>
      </c>
      <c r="W36" s="2434"/>
      <c r="X36" s="2434"/>
      <c r="Y36" s="2434"/>
      <c r="Z36" s="2434"/>
      <c r="AA36" s="2434"/>
      <c r="AB36" s="2434"/>
      <c r="AC36" s="496"/>
      <c r="AD36" s="2434" t="str">
        <f>IF(TITLE_DATE_PR_CHANGE="",IF(TITLE_DATE_PR="","",TITLE_DATE_PR),TITLE_DATE_PR_CHANGE)</f>
        <v>45408.40866898148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793" customFormat="1" customHeight="1" ht="18.75">
      <c r="A37" s="1538"/>
      <c r="B37" s="1538"/>
      <c r="C37" s="1538"/>
      <c r="D37" s="1538"/>
      <c r="E37" s="1538"/>
      <c r="F37" s="1538"/>
      <c r="G37" s="1538"/>
      <c r="H37" s="1538"/>
      <c r="I37" s="1538"/>
      <c r="J37" s="1538"/>
      <c r="K37" s="1538"/>
      <c r="L37" s="1539"/>
      <c r="M37" s="1538"/>
      <c r="N37" s="1538"/>
      <c r="O37" s="1538"/>
      <c r="P37" s="1538"/>
      <c r="Q37" s="1538"/>
      <c r="S37" s="2420" t="s">
        <v>425</v>
      </c>
      <c r="T37" s="2420"/>
      <c r="U37" s="1542"/>
      <c r="V37" s="2421" t="str">
        <f>IF(TITLE_NUMBER_PR_CHANGE="",IF(TITLE_NUMBER_PR="","",TITLE_NUMBER_PR),TITLE_NUMBER_PR_CHANGE)</f>
        <v>1005,1062</v>
      </c>
      <c r="W37" s="2421"/>
      <c r="X37" s="2421"/>
      <c r="Y37" s="2421"/>
      <c r="Z37" s="2421"/>
      <c r="AA37" s="2421"/>
      <c r="AB37" s="2421"/>
      <c r="AC37" s="496"/>
      <c r="AD37" s="2421" t="str">
        <f>IF(TITLE_NUMBER_PR_CHANGE="",IF(TITLE_NUMBER_PR="","",TITLE_NUMBER_PR),TITLE_NUMBER_PR_CHANGE)</f>
        <v>1005,1062</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79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303</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304</v>
      </c>
      <c r="BI40" s="1325">
        <v>14</v>
      </c>
    </row>
    <row customHeight="1" ht="14.699999999999998">
      <c r="Q41" s="461"/>
      <c r="R41" s="546"/>
      <c r="S41" s="2443" t="s">
        <v>87</v>
      </c>
      <c r="T41" s="2379" t="s">
        <v>509</v>
      </c>
      <c r="U41" s="471"/>
      <c r="V41" s="2444" t="s">
        <v>430</v>
      </c>
      <c r="W41" s="2445"/>
      <c r="X41" s="2445"/>
      <c r="Y41" s="2445"/>
      <c r="Z41" s="2445"/>
      <c r="AA41" s="2445"/>
      <c r="AB41" s="2446"/>
      <c r="AC41" s="2447" t="s">
        <v>431</v>
      </c>
      <c r="AD41" s="2498" t="s">
        <v>510</v>
      </c>
      <c r="AE41" s="2461"/>
      <c r="AF41" s="2461"/>
      <c r="AG41" s="2499"/>
      <c r="AH41" s="2498" t="s">
        <v>511</v>
      </c>
      <c r="AI41" s="2461"/>
      <c r="AJ41" s="2461"/>
      <c r="AK41" s="2499"/>
      <c r="AL41" s="2498" t="s">
        <v>512</v>
      </c>
      <c r="AM41" s="2461"/>
      <c r="AN41" s="2461"/>
      <c r="AO41" s="2499"/>
      <c r="AP41" s="2498" t="s">
        <v>513</v>
      </c>
      <c r="AQ41" s="2461"/>
      <c r="AR41" s="2461"/>
      <c r="AS41" s="2499"/>
      <c r="AT41" s="2444" t="s">
        <v>430</v>
      </c>
      <c r="AU41" s="2445"/>
      <c r="AV41" s="2445"/>
      <c r="AW41" s="2445"/>
      <c r="AX41" s="2445"/>
      <c r="AY41" s="2445"/>
      <c r="AZ41" s="2446"/>
      <c r="BA41" s="2447" t="s">
        <v>431</v>
      </c>
      <c r="BB41" s="2450" t="s">
        <v>433</v>
      </c>
      <c r="BC41" s="2297"/>
      <c r="BI41" s="1325">
        <v>14</v>
      </c>
    </row>
    <row customHeight="1" ht="35.699999999999996">
      <c r="Q42" s="461"/>
      <c r="R42" s="546"/>
      <c r="S42" s="2443"/>
      <c r="T42" s="2379"/>
      <c r="U42" s="1201"/>
      <c r="V42" s="2362" t="s">
        <v>514</v>
      </c>
      <c r="W42" s="2363"/>
      <c r="X42" s="2362" t="s">
        <v>515</v>
      </c>
      <c r="Y42" s="2363"/>
      <c r="Z42" s="2464" t="s">
        <v>516</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514</v>
      </c>
      <c r="AU42" s="2363"/>
      <c r="AV42" s="2362" t="s">
        <v>515</v>
      </c>
      <c r="AW42" s="2363"/>
      <c r="AX42" s="2464" t="s">
        <v>516</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134</v>
      </c>
      <c r="C44" s="1540" t="s">
        <v>135</v>
      </c>
      <c r="D44" s="1540" t="s">
        <v>136</v>
      </c>
      <c r="E44" s="1534" t="s">
        <v>438</v>
      </c>
      <c r="F44" s="1534" t="s">
        <v>439</v>
      </c>
      <c r="G44" s="1534" t="s">
        <v>440</v>
      </c>
      <c r="H44" s="1534" t="s">
        <v>441</v>
      </c>
      <c r="I44" s="1534" t="s">
        <v>442</v>
      </c>
      <c r="J44" s="1534" t="s">
        <v>443</v>
      </c>
      <c r="K44" s="1534" t="s">
        <v>444</v>
      </c>
      <c r="L44" s="1534" t="s">
        <v>419</v>
      </c>
      <c r="Q44" s="461"/>
      <c r="R44" s="546"/>
      <c r="S44" s="2443"/>
      <c r="T44" s="2379"/>
      <c r="U44" s="472"/>
      <c r="V44" s="1649" t="s">
        <v>478</v>
      </c>
      <c r="W44" s="1649" t="s">
        <v>479</v>
      </c>
      <c r="X44" s="1649" t="s">
        <v>478</v>
      </c>
      <c r="Y44" s="1649" t="s">
        <v>479</v>
      </c>
      <c r="Z44" s="1659" t="s">
        <v>447</v>
      </c>
      <c r="AA44" s="2440" t="s">
        <v>448</v>
      </c>
      <c r="AB44" s="2441"/>
      <c r="AC44" s="2449"/>
      <c r="AD44" s="2503"/>
      <c r="AE44" s="2504"/>
      <c r="AF44" s="2504"/>
      <c r="AG44" s="2505"/>
      <c r="AH44" s="2503"/>
      <c r="AI44" s="2504"/>
      <c r="AJ44" s="2504"/>
      <c r="AK44" s="2505"/>
      <c r="AL44" s="2503"/>
      <c r="AM44" s="2504"/>
      <c r="AN44" s="2504"/>
      <c r="AO44" s="2505"/>
      <c r="AP44" s="2503"/>
      <c r="AQ44" s="2504"/>
      <c r="AR44" s="2504"/>
      <c r="AS44" s="2505"/>
      <c r="AT44" s="1649" t="s">
        <v>478</v>
      </c>
      <c r="AU44" s="1649" t="s">
        <v>479</v>
      </c>
      <c r="AV44" s="1649" t="s">
        <v>478</v>
      </c>
      <c r="AW44" s="1649" t="s">
        <v>479</v>
      </c>
      <c r="AX44" s="1659" t="s">
        <v>447</v>
      </c>
      <c r="AY44" s="2440" t="s">
        <v>448</v>
      </c>
      <c r="AZ44" s="2441"/>
      <c r="BA44" s="2449"/>
      <c r="BB44" s="2452"/>
      <c r="BC44" s="2297"/>
      <c r="BI44" s="1325">
        <v>14</v>
      </c>
    </row>
    <row s="10287"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264</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122</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264</v>
      </c>
      <c r="B47" s="1533" t="s">
        <v>265</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400</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401</v>
      </c>
      <c r="BE47" s="670"/>
      <c r="BF47" s="670" t="str">
        <f>IF(T47="","",T47)</f>
        <v>Территория действия тарифа</v>
      </c>
      <c r="BG47" s="670"/>
      <c r="BH47" s="670"/>
      <c r="BI47" s="1325">
        <v>21</v>
      </c>
    </row>
    <row customHeight="1" ht="35.699999999999996">
      <c r="A48" s="1533" t="s">
        <v>264</v>
      </c>
      <c r="B48" s="1533" t="s">
        <v>265</v>
      </c>
      <c r="C48" s="1533" t="s">
        <v>266</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542</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543</v>
      </c>
      <c r="BE48" s="670"/>
      <c r="BF48" s="670" t="str">
        <f>IF(T48="","",T48)</f>
        <v>Наименование централизованной системы горячего водоснабжения</v>
      </c>
      <c r="BG48" s="670"/>
      <c r="BH48" s="670"/>
      <c r="BI48" s="1325">
        <v>34</v>
      </c>
    </row>
    <row s="9667" customFormat="1" customHeight="1" ht="0">
      <c r="A49" s="1513" t="s">
        <v>264</v>
      </c>
      <c r="B49" s="1513" t="s">
        <v>265</v>
      </c>
      <c r="C49" s="1513" t="s">
        <v>266</v>
      </c>
      <c r="D49" s="1513" t="s">
        <v>556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405</v>
      </c>
      <c r="BE49" s="670"/>
      <c r="BF49" s="670" t="str">
        <f>IF(T49="","",T49)</f>
        <v/>
      </c>
      <c r="BG49" s="670"/>
      <c r="BH49" s="670"/>
      <c r="BI49" s="681">
        <v>0</v>
      </c>
    </row>
    <row s="9667" customFormat="1" customHeight="1" ht="0">
      <c r="A50" s="1513" t="s">
        <v>264</v>
      </c>
      <c r="B50" s="1513" t="s">
        <v>265</v>
      </c>
      <c r="C50" s="1513" t="s">
        <v>266</v>
      </c>
      <c r="D50" s="1513" t="s">
        <v>556</v>
      </c>
      <c r="E50" s="2429"/>
      <c r="F50" s="2429"/>
      <c r="G50" s="2429"/>
      <c r="H50" s="2429"/>
      <c r="I50" s="2426" t="str">
        <f>S49&amp;".1"</f>
        <v>.1</v>
      </c>
      <c r="J50" s="1513"/>
      <c r="K50" s="1513"/>
      <c r="L50" s="1516" t="s">
        <v>406</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667" customFormat="1" customHeight="1" ht="0">
      <c r="A51" s="1513" t="s">
        <v>264</v>
      </c>
      <c r="B51" s="1513" t="s">
        <v>265</v>
      </c>
      <c r="C51" s="1513" t="s">
        <v>266</v>
      </c>
      <c r="D51" s="1513" t="s">
        <v>556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264</v>
      </c>
      <c r="B52" s="1533" t="s">
        <v>265</v>
      </c>
      <c r="C52" s="1533" t="s">
        <v>266</v>
      </c>
      <c r="D52" s="1533" t="s">
        <v>556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28</v>
      </c>
      <c r="AL52" s="2277" t="s">
        <v>65</v>
      </c>
      <c r="AM52" s="2362"/>
      <c r="AN52" s="2375">
        <v>1</v>
      </c>
      <c r="AO52" s="2527"/>
      <c r="AP52" s="2528" t="s">
        <v>65</v>
      </c>
      <c r="AQ52" s="481"/>
      <c r="AR52" s="1656">
        <v>1</v>
      </c>
      <c r="AS52" s="1662" t="s">
        <v>28</v>
      </c>
      <c r="AT52" s="921"/>
      <c r="AU52" s="1427"/>
      <c r="AV52" s="921"/>
      <c r="AW52" s="1427"/>
      <c r="AX52" s="1904"/>
      <c r="AY52" s="1639" t="s">
        <v>65</v>
      </c>
      <c r="AZ52" s="1904"/>
      <c r="BA52" s="1639" t="s">
        <v>65</v>
      </c>
      <c r="BB52" s="1518"/>
      <c r="BC52" s="2423" t="s">
        <v>503</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504</v>
      </c>
      <c r="AT53" s="1563"/>
      <c r="AU53" s="1666"/>
      <c r="AV53" s="1563"/>
      <c r="AW53" s="1666"/>
      <c r="AX53" s="1563"/>
      <c r="AY53" s="1563"/>
      <c r="AZ53" s="1563"/>
      <c r="BA53" s="1563"/>
      <c r="BB53" s="1567"/>
      <c r="BC53" s="2424"/>
      <c r="BE53" s="670"/>
      <c r="BF53" s="670"/>
      <c r="BG53" s="670"/>
      <c r="BH53" s="670"/>
      <c r="BI53" s="1325">
        <v>11</v>
      </c>
    </row>
    <row customHeight="1" ht="11.549999999999999">
      <c r="A54" s="1533" t="s">
        <v>264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505</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506</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264</v>
      </c>
      <c r="B56" s="1533" t="s">
        <v>265</v>
      </c>
      <c r="C56" s="1533" t="s">
        <v>266</v>
      </c>
      <c r="D56" s="1533" t="s">
        <v>556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507</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264</v>
      </c>
      <c r="B57" s="1533" t="s">
        <v>265</v>
      </c>
      <c r="C57" s="1533" t="s">
        <v>266</v>
      </c>
      <c r="D57" s="1533" t="s">
        <v>556</v>
      </c>
      <c r="E57" s="2429"/>
      <c r="F57" s="2429"/>
      <c r="G57" s="2429"/>
      <c r="H57" s="2429"/>
      <c r="I57" s="2456"/>
      <c r="J57" s="2426"/>
      <c r="K57" s="1533"/>
      <c r="L57" s="1534"/>
      <c r="P57" s="2427"/>
      <c r="Q57" s="2427"/>
      <c r="R57" s="526"/>
      <c r="S57" s="1448"/>
      <c r="T57" s="457" t="s">
        <v>468</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667" customFormat="1" customHeight="1" ht="0">
      <c r="A58" s="1513" t="s">
        <v>264</v>
      </c>
      <c r="B58" s="1513" t="s">
        <v>265</v>
      </c>
      <c r="C58" s="1513" t="s">
        <v>266</v>
      </c>
      <c r="D58" s="1513" t="s">
        <v>556</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667" customFormat="1" customHeight="1" ht="0">
      <c r="A59" s="1513" t="s">
        <v>264</v>
      </c>
      <c r="B59" s="1513" t="s">
        <v>265</v>
      </c>
      <c r="C59" s="1513" t="s">
        <v>266</v>
      </c>
      <c r="D59" s="1513" t="s">
        <v>556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667" customFormat="1" customHeight="1" ht="0">
      <c r="A60" s="1513" t="s">
        <v>264</v>
      </c>
      <c r="B60" s="1513" t="s">
        <v>265</v>
      </c>
      <c r="C60" s="1513" t="s">
        <v>266</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667" customFormat="1" customHeight="1" ht="0">
      <c r="A61" s="1513" t="s">
        <v>264</v>
      </c>
      <c r="B61" s="1513" t="s">
        <v>265</v>
      </c>
      <c r="C61" s="1484"/>
      <c r="D61" s="1484"/>
      <c r="E61" s="2429"/>
      <c r="F61" s="2428"/>
      <c r="G61" s="1484"/>
      <c r="H61" s="1484"/>
      <c r="I61" s="1484"/>
      <c r="J61" s="1484"/>
      <c r="K61" s="1484"/>
      <c r="L61" s="1664"/>
      <c r="M61" s="1491"/>
      <c r="N61" s="1491"/>
      <c r="P61" s="1486"/>
      <c r="Q61" s="1487"/>
      <c r="R61" s="1486"/>
      <c r="S61" s="1492"/>
      <c r="T61" s="1495" t="s">
        <v>228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667" customFormat="1" customHeight="1" ht="0">
      <c r="A62" s="1513" t="s">
        <v>264</v>
      </c>
      <c r="B62" s="1513"/>
      <c r="C62" s="1513"/>
      <c r="D62" s="1513"/>
      <c r="E62" s="2428"/>
      <c r="F62" s="1513"/>
      <c r="G62" s="1513"/>
      <c r="H62" s="1513"/>
      <c r="I62" s="1513"/>
      <c r="J62" s="1513"/>
      <c r="K62" s="1513"/>
      <c r="L62" s="1516"/>
      <c r="M62" s="1491"/>
      <c r="N62" s="1491"/>
      <c r="O62" s="688"/>
      <c r="P62" s="550"/>
      <c r="Q62" s="1514"/>
      <c r="R62" s="550"/>
      <c r="S62" s="1492"/>
      <c r="T62" s="1495" t="s">
        <v>229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66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230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03FAD-1F3E-5FE8-697A-ADBC6C9CEAA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175" width="10.7109375" hidden="1" customWidth="1"/>
    <col min="2" max="2" style="9666" width="16.8515625" hidden="1" customWidth="1"/>
    <col min="3" max="3" style="9667" width="5.57421875" hidden="1" customWidth="1"/>
    <col min="4" max="4" style="9589" width="3.00390625" customWidth="1"/>
    <col min="5" max="5" style="9589" width="7.00390625" customWidth="1"/>
    <col min="6" max="6" style="9589" width="54.00390625" customWidth="1"/>
    <col min="7" max="7" style="9589" width="10.00390625" customWidth="1"/>
    <col min="8" max="8" style="9589" width="40.7109375" hidden="1" customWidth="1"/>
    <col min="9" max="9" style="9589" width="40.7109375" customWidth="1"/>
    <col min="10" max="10" style="9589" width="102.00390625" customWidth="1"/>
    <col min="11" max="11" style="9666" width="9.00390625" customWidth="1"/>
    <col min="12" max="12" style="9667" width="5.00390625" customWidth="1"/>
    <col min="13" max="13" style="9667" width="3.00390625" customWidth="1"/>
    <col min="14" max="17" style="9666" width="3.00390625" customWidth="1"/>
    <col min="18" max="18" style="9667" width="10.00390625" customWidth="1"/>
    <col min="19" max="19" style="9666" width="34.00390625" customWidth="1"/>
    <col min="20" max="20" style="9666" width="9.00390625" customWidth="1"/>
    <col min="21" max="21" style="12176" width="8.00390625" customWidth="1"/>
    <col min="22" max="26" style="9666" width="8.00390625" customWidth="1"/>
    <col min="27" max="31" style="9553" width="8.00390625" customWidth="1"/>
    <col min="32" max="32" style="9589" width="9.140625" hidden="1"/>
  </cols>
  <sheetData>
    <row customHeight="1" ht="22.5" hidden="1">
      <c r="AF1" s="1801" t="s">
        <v>14</v>
      </c>
    </row>
    <row customHeight="1" ht="23.25" hidden="1">
      <c r="B2" s="2269"/>
      <c r="C2" s="1337" t="s">
        <v>557</v>
      </c>
      <c r="D2" s="1808"/>
      <c r="E2" s="716">
        <f>B2</f>
        <v>0</v>
      </c>
      <c r="F2" s="717"/>
      <c r="G2" s="1816" t="s">
        <v>558</v>
      </c>
      <c r="H2" s="1816" t="s">
        <v>558</v>
      </c>
      <c r="I2" s="1816" t="s">
        <v>558</v>
      </c>
      <c r="J2" s="459" t="s">
        <v>559</v>
      </c>
      <c r="K2" s="713"/>
      <c r="AF2" s="1801">
        <v>0</v>
      </c>
    </row>
    <row s="9667" customFormat="1" customHeight="1" ht="0.75" hidden="1">
      <c r="B3" s="2269"/>
      <c r="C3" s="1337"/>
      <c r="D3" s="718"/>
      <c r="E3" s="719"/>
      <c r="F3" s="720" t="s">
        <v>560</v>
      </c>
      <c r="G3" s="721"/>
      <c r="H3" s="721">
        <f>H4*H5+H7</f>
        <v>0</v>
      </c>
      <c r="I3" s="721">
        <f>I4*I5+I6</f>
        <v>0</v>
      </c>
      <c r="J3" s="722"/>
      <c r="AF3" s="1806">
        <v>0</v>
      </c>
    </row>
    <row customHeight="1" ht="23.25" hidden="1">
      <c r="B4" s="2269"/>
      <c r="C4" s="1337"/>
      <c r="D4" s="1808"/>
      <c r="E4" s="716" t="str">
        <f>B2&amp;".1"</f>
        <v>.1</v>
      </c>
      <c r="F4" s="723" t="s">
        <v>561</v>
      </c>
      <c r="G4" s="724"/>
      <c r="H4" s="711"/>
      <c r="I4" s="711"/>
      <c r="J4" s="459" t="s">
        <v>562</v>
      </c>
      <c r="K4" s="713"/>
      <c r="AF4" s="1801">
        <v>0</v>
      </c>
    </row>
    <row customHeight="1" ht="18.75" hidden="1">
      <c r="B5" s="2269"/>
      <c r="C5" s="1337"/>
      <c r="D5" s="1808"/>
      <c r="E5" s="716" t="str">
        <f>B2&amp;".2"</f>
        <v>.2</v>
      </c>
      <c r="F5" s="723" t="s">
        <v>563</v>
      </c>
      <c r="G5" s="1816" t="s">
        <v>564</v>
      </c>
      <c r="H5" s="711"/>
      <c r="I5" s="711"/>
      <c r="J5" s="459"/>
      <c r="K5" s="713"/>
      <c r="AF5" s="1801">
        <v>0</v>
      </c>
    </row>
    <row customHeight="1" ht="18.75" hidden="1">
      <c r="B6" s="2269"/>
      <c r="C6" s="1337"/>
      <c r="D6" s="1808"/>
      <c r="E6" s="716" t="str">
        <f>B2&amp;".3"</f>
        <v>.3</v>
      </c>
      <c r="F6" s="723" t="s">
        <v>565</v>
      </c>
      <c r="G6" s="1816" t="s">
        <v>564</v>
      </c>
      <c r="H6" s="711"/>
      <c r="I6" s="711"/>
      <c r="J6" s="459"/>
      <c r="K6" s="713"/>
      <c r="AF6" s="1801">
        <v>0</v>
      </c>
    </row>
    <row customHeight="1" ht="18.75" hidden="1">
      <c r="B7" s="2269"/>
      <c r="C7" s="1337"/>
      <c r="D7" s="1808"/>
      <c r="E7" s="716" t="str">
        <f>B2&amp;".4"</f>
        <v>.4</v>
      </c>
      <c r="F7" s="723" t="s">
        <v>566</v>
      </c>
      <c r="G7" s="1816" t="s">
        <v>558</v>
      </c>
      <c r="H7" s="725"/>
      <c r="I7" s="725"/>
      <c r="J7" s="459"/>
      <c r="K7" s="713"/>
      <c r="AF7" s="1801">
        <v>0</v>
      </c>
    </row>
    <row s="9666" customFormat="1" customHeight="1" ht="11.25" hidden="1">
      <c r="A8" s="1157"/>
      <c r="C8" s="1806"/>
      <c r="D8" s="707"/>
      <c r="H8" s="1330">
        <v>4</v>
      </c>
      <c r="I8" s="1330">
        <v>4</v>
      </c>
      <c r="L8" s="1806"/>
      <c r="M8" s="1806"/>
      <c r="R8" s="1806"/>
      <c r="AF8" s="1330">
        <v>0</v>
      </c>
    </row>
    <row s="9666" customFormat="1" customHeight="1" ht="22.5" hidden="1">
      <c r="A9" s="1157"/>
      <c r="C9" s="1806"/>
      <c r="D9" s="708"/>
      <c r="E9" s="1818"/>
      <c r="F9" s="710"/>
      <c r="G9" s="1816" t="s">
        <v>564</v>
      </c>
      <c r="H9" s="711"/>
      <c r="I9" s="711"/>
      <c r="J9" s="712" t="s">
        <v>567</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568</v>
      </c>
      <c r="H11" s="711"/>
      <c r="I11" s="711"/>
      <c r="J11" s="459" t="s">
        <v>569</v>
      </c>
      <c r="K11" s="713"/>
      <c r="AF11" s="1801">
        <v>0</v>
      </c>
    </row>
    <row customHeight="1" ht="11.25" hidden="1">
      <c r="AF12" s="1801">
        <v>0</v>
      </c>
    </row>
    <row customHeight="1" ht="22.5" hidden="1">
      <c r="D13" s="1808"/>
      <c r="E13" s="716"/>
      <c r="F13" s="710"/>
      <c r="G13" s="1139" t="s">
        <v>570</v>
      </c>
      <c r="H13" s="715"/>
      <c r="I13" s="715"/>
      <c r="J13" s="915" t="s">
        <v>571</v>
      </c>
      <c r="K13" s="713"/>
      <c r="AF13" s="1801">
        <v>0</v>
      </c>
    </row>
    <row customHeight="1" ht="11.25" hidden="1">
      <c r="AF14" s="1801">
        <v>0</v>
      </c>
    </row>
    <row customHeight="1" ht="22.5" hidden="1">
      <c r="D15" s="1808"/>
      <c r="E15" s="716"/>
      <c r="F15" s="710"/>
      <c r="G15" s="1816" t="s">
        <v>572</v>
      </c>
      <c r="H15" s="715"/>
      <c r="I15" s="715"/>
      <c r="J15" s="459" t="s">
        <v>573</v>
      </c>
      <c r="K15" s="713"/>
      <c r="AF15" s="1801">
        <v>0</v>
      </c>
    </row>
    <row customHeight="1" ht="11.25" hidden="1">
      <c r="AF16" s="1801">
        <v>0</v>
      </c>
    </row>
    <row customHeight="1" ht="22.5" hidden="1">
      <c r="D17" s="1808"/>
      <c r="E17" s="716"/>
      <c r="F17" s="710"/>
      <c r="G17" s="1816" t="s">
        <v>574</v>
      </c>
      <c r="H17" s="715"/>
      <c r="I17" s="715"/>
      <c r="J17" s="459" t="s">
        <v>575</v>
      </c>
      <c r="K17" s="713"/>
      <c r="AF17" s="1801">
        <v>0</v>
      </c>
    </row>
    <row customHeight="1" ht="11.25" hidden="1">
      <c r="AF18" s="1801">
        <v>0</v>
      </c>
    </row>
    <row s="9553"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418"/>
      <c r="G21" s="2418"/>
      <c r="H21" s="2418"/>
      <c r="I21" s="2418"/>
      <c r="J21" s="726"/>
      <c r="AF21" s="1801">
        <v>24</v>
      </c>
    </row>
    <row customHeight="1" ht="25.2">
      <c r="E22" s="2419" t="str">
        <f>IF(org=0,"Не определено",org)</f>
        <v>МУП "Водоканал"</v>
      </c>
      <c r="F22" s="2419"/>
      <c r="G22" s="2419"/>
      <c r="H22" s="2419"/>
      <c r="I22" s="2419"/>
      <c r="AF22" s="1801">
        <v>24</v>
      </c>
    </row>
    <row customHeight="1" ht="11.549999999999999">
      <c r="E23" s="1305"/>
      <c r="F23" s="1305"/>
      <c r="G23" s="1305"/>
      <c r="H23" s="1305"/>
      <c r="I23" s="1305"/>
      <c r="AF23" s="1801">
        <v>11</v>
      </c>
    </row>
    <row s="9667" customFormat="1" customHeight="1" ht="1.05">
      <c r="A24" s="1337"/>
      <c r="D24" s="1812"/>
      <c r="H24" s="1059"/>
      <c r="I24" s="1059" t="s">
        <v>116</v>
      </c>
      <c r="AF24" s="1806">
        <v>1</v>
      </c>
    </row>
    <row customHeight="1" ht="11.549999999999999">
      <c r="E25" s="881"/>
      <c r="F25" s="2537" t="s">
        <v>104</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576</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577</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303</v>
      </c>
      <c r="F28" s="2540"/>
      <c r="G28" s="2540"/>
      <c r="H28" s="1815"/>
      <c r="I28" s="1815"/>
      <c r="J28" s="2297"/>
      <c r="AF28" s="1801">
        <v>11</v>
      </c>
    </row>
    <row customHeight="1" ht="24">
      <c r="E29" s="1816" t="s">
        <v>87</v>
      </c>
      <c r="F29" s="1823" t="s">
        <v>305</v>
      </c>
      <c r="G29" s="1823" t="s">
        <v>578</v>
      </c>
      <c r="H29" s="1823" t="s">
        <v>306</v>
      </c>
      <c r="I29" s="1823" t="s">
        <v>306</v>
      </c>
      <c r="J29" s="2297"/>
      <c r="AF29" s="1801">
        <v>23</v>
      </c>
    </row>
    <row customHeight="1" ht="19.95">
      <c r="D30" s="1808"/>
      <c r="E30" s="716">
        <f>FHD_NUM_P_1</f>
        <v>1</v>
      </c>
      <c r="F30" s="2050" t="str">
        <f>FHD_P_1</f>
        <v>Выручка от регулируемых видов деятельности в сфере холодного водоснабжения</v>
      </c>
      <c r="G30" s="2048" t="s">
        <v>564</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холодного водоснабжения, включая:</v>
      </c>
      <c r="G31" s="2048" t="s">
        <v>564</v>
      </c>
      <c r="H31" s="728">
        <f>SUMIF($K33:$K71,$K31,H33:H71)</f>
        <v>0</v>
      </c>
      <c r="I31" s="728">
        <f>SUMIF($K33:$K71,$K31,I33:I71)</f>
        <v>0</v>
      </c>
      <c r="J31" s="459" t="str">
        <f>FHD_NOTE_P_2</f>
        <v>Указывается суммарная себестоимость производимых товаров.</v>
      </c>
      <c r="K31" s="1806" t="s">
        <v>579</v>
      </c>
      <c r="AF31" s="1801">
        <v>11</v>
      </c>
    </row>
    <row customHeight="1" ht="11.549999999999999">
      <c r="D32" s="1808"/>
      <c r="E32" s="716" t="str">
        <f>FHD_NUM_P_3</f>
        <v>2.1</v>
      </c>
      <c r="F32" s="1694" t="str">
        <f>FHD_P_3</f>
        <v>Расходы на оплату холодной воды, приобретаемой у других организаций для последующей подачи потребителям</v>
      </c>
      <c r="G32" s="2048" t="s">
        <v>564</v>
      </c>
      <c r="H32" s="727"/>
      <c r="I32" s="727"/>
      <c r="J32" s="459" t="str">
        <f>FHD_NOTE_P_3</f>
        <v/>
      </c>
      <c r="K32" s="1806" t="str">
        <f>IF((LEN(E32)-LEN(SUBSTITUTE(E32,".","")))/LEN(".")=1,"p","")</f>
        <v>p</v>
      </c>
      <c r="AF32" s="1801">
        <v>11</v>
      </c>
    </row>
    <row customHeight="1" ht="11.25" hidden="1">
      <c r="A33" s="2541" t="s">
        <v>580</v>
      </c>
      <c r="D33" s="1808"/>
      <c r="E33" s="716" t="str">
        <f>FHD_NUM_P_4</f>
        <v/>
      </c>
      <c r="F33" s="1694" t="str">
        <f>FHD_P_4</f>
        <v/>
      </c>
      <c r="G33" s="2048" t="s">
        <v>564</v>
      </c>
      <c r="H33" s="728">
        <f>SUMIF($F34:$F40,$F3,H34:H40)</f>
        <v>0</v>
      </c>
      <c r="I33" s="728">
        <f>SUMIF($F34:$F40,$F3,I34:I40)</f>
        <v>0</v>
      </c>
      <c r="J33" s="459" t="str">
        <f>FHD_NOTE_P_4</f>
        <v/>
      </c>
      <c r="K33" s="1806" t="str">
        <f>IF((LEN(E33)-LEN(SUBSTITUTE(E33,".","")))/LEN(".")=1,"p","")</f>
        <v/>
      </c>
      <c r="AF33" s="1801">
        <v>0</v>
      </c>
    </row>
    <row s="10287"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10287"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10287"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10287"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10287"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10287"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9666" customFormat="1" customHeight="1" ht="15" hidden="1">
      <c r="A40" s="2541"/>
      <c r="C40" s="1806"/>
      <c r="D40" s="1803"/>
      <c r="E40" s="740"/>
      <c r="F40" s="741" t="s">
        <v>581</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582</v>
      </c>
      <c r="D41" s="1808"/>
      <c r="E41" s="716" t="str">
        <f>FHD_NUM_P_5</f>
        <v/>
      </c>
      <c r="F41" s="1694" t="str">
        <f>FHD_P_5</f>
        <v/>
      </c>
      <c r="G41" s="2048" t="s">
        <v>564</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564</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564</v>
      </c>
      <c r="H43" s="727"/>
      <c r="I43" s="727"/>
      <c r="J43" s="459" t="str">
        <f>FHD_NOTE_P_7</f>
        <v/>
      </c>
      <c r="K43" s="1806" t="str">
        <f>IF((LEN(E43)-LEN(SUBSTITUTE(E43,".","")))/LEN(".")=1,"p","")</f>
        <v/>
      </c>
      <c r="AF43" s="1801">
        <v>0</v>
      </c>
    </row>
    <row customHeight="1" ht="11.549999999999999">
      <c r="D44" s="1808"/>
      <c r="E44" s="716" t="str">
        <f>FHD_NUM_P_8</f>
        <v>2.2</v>
      </c>
      <c r="F44" s="1694" t="str">
        <f>FHD_P_8</f>
        <v>Расходы на приобретаемую электрическую энергию (мощность), используемую в технологическом процессе</v>
      </c>
      <c r="G44" s="2048" t="s">
        <v>564</v>
      </c>
      <c r="H44" s="727"/>
      <c r="I44" s="727"/>
      <c r="J44" s="459" t="str">
        <f>FHD_NOTE_P_8</f>
        <v/>
      </c>
      <c r="K44" s="1806" t="str">
        <f>IF((LEN(E44)-LEN(SUBSTITUTE(E44,".","")))/LEN(".")=1,"p","")</f>
        <v>p</v>
      </c>
      <c r="AF44" s="1801">
        <v>11</v>
      </c>
    </row>
    <row customHeight="1" ht="11.549999999999999">
      <c r="D45" s="1808"/>
      <c r="E45" s="716" t="str">
        <f>FHD_NUM_P_9</f>
        <v>2.2.1</v>
      </c>
      <c r="F45" s="1820" t="str">
        <f>FHD_P_9</f>
        <v>Средневзвешенная стоимость 1 кВт.ч (с учетом мощности)</v>
      </c>
      <c r="G45" s="2048" t="s">
        <v>583</v>
      </c>
      <c r="H45" s="727"/>
      <c r="I45" s="727"/>
      <c r="J45" s="459" t="str">
        <f>FHD_NOTE_P_9</f>
        <v/>
      </c>
      <c r="K45" s="1806" t="str">
        <f>IF((LEN(E45)-LEN(SUBSTITUTE(E45,".","")))/LEN(".")=1,"p","")</f>
        <v/>
      </c>
      <c r="AF45" s="1801">
        <v>11</v>
      </c>
    </row>
    <row s="9666" customFormat="1" customHeight="1" ht="11.549999999999999">
      <c r="A46" s="1157"/>
      <c r="C46" s="1806"/>
      <c r="D46" s="744"/>
      <c r="E46" s="716" t="str">
        <f>FHD_NUM_P_10</f>
        <v>2.2.2</v>
      </c>
      <c r="F46" s="1820" t="str">
        <f>FHD_P_10</f>
        <v>Объём приобретения электрической энергии</v>
      </c>
      <c r="G46" s="2048" t="s">
        <v>584</v>
      </c>
      <c r="H46" s="727"/>
      <c r="I46" s="727"/>
      <c r="J46" s="459" t="str">
        <f>FHD_NOTE_P_10</f>
        <v/>
      </c>
      <c r="K46" s="1806" t="str">
        <f>IF((LEN(E46)-LEN(SUBSTITUTE(E46,".","")))/LEN(".")=1,"p","")</f>
        <v/>
      </c>
      <c r="L46" s="1806"/>
      <c r="M46" s="1806"/>
      <c r="R46" s="1806"/>
      <c r="U46" s="714"/>
      <c r="AA46" s="1802"/>
      <c r="AB46" s="1802"/>
      <c r="AC46" s="1802"/>
      <c r="AD46" s="1802"/>
      <c r="AE46" s="1802"/>
      <c r="AF46" s="1330">
        <v>11</v>
      </c>
    </row>
    <row s="9666" customFormat="1" customHeight="1" ht="11.25" hidden="1">
      <c r="A47" s="1159" t="s">
        <v>585</v>
      </c>
      <c r="C47" s="1806"/>
      <c r="D47" s="745"/>
      <c r="E47" s="716" t="str">
        <f>FHD_NUM_P_11</f>
        <v/>
      </c>
      <c r="F47" s="1694" t="str">
        <f>FHD_P_11</f>
        <v/>
      </c>
      <c r="G47" s="2048" t="s">
        <v>564</v>
      </c>
      <c r="H47" s="727"/>
      <c r="I47" s="727"/>
      <c r="J47" s="459" t="str">
        <f>FHD_NOTE_P_11</f>
        <v/>
      </c>
      <c r="K47" s="1806" t="str">
        <f>IF((LEN(E47)-LEN(SUBSTITUTE(E47,".","")))/LEN(".")=1,"p","")</f>
        <v/>
      </c>
      <c r="L47" s="1806"/>
      <c r="M47" s="1806"/>
      <c r="R47" s="1806"/>
      <c r="U47" s="714"/>
      <c r="AA47" s="1802"/>
      <c r="AB47" s="1802"/>
      <c r="AC47" s="1802"/>
      <c r="AD47" s="1802"/>
      <c r="AE47" s="1802"/>
      <c r="AF47" s="1330">
        <v>0</v>
      </c>
    </row>
    <row s="9666" customFormat="1" customHeight="1" ht="18.75">
      <c r="A48" s="1159" t="s">
        <v>586</v>
      </c>
      <c r="C48" s="1806"/>
      <c r="D48" s="1808"/>
      <c r="E48" s="716" t="str">
        <f>FHD_NUM_P_12</f>
        <v>2.3</v>
      </c>
      <c r="F48" s="1694" t="str">
        <f>FHD_P_12</f>
        <v>Расходы на химические реагенты, используемые в технологическом процессе</v>
      </c>
      <c r="G48" s="2048" t="s">
        <v>564</v>
      </c>
      <c r="H48" s="747"/>
      <c r="I48" s="747"/>
      <c r="J48" s="459" t="str">
        <f>FHD_NOTE_P_12</f>
        <v/>
      </c>
      <c r="K48" s="1806" t="str">
        <f>IF((LEN(E48)-LEN(SUBSTITUTE(E48,".","")))/LEN(".")=1,"p","")</f>
        <v>p</v>
      </c>
      <c r="L48" s="1806"/>
      <c r="M48" s="1806"/>
      <c r="R48" s="1806"/>
      <c r="U48" s="714"/>
      <c r="AA48" s="1802"/>
      <c r="AB48" s="1802"/>
      <c r="AC48" s="1802"/>
      <c r="AD48" s="1802"/>
      <c r="AE48" s="1802"/>
      <c r="AF48" s="1330">
        <v>18</v>
      </c>
    </row>
    <row s="12114" customFormat="1" customHeight="1" ht="11.549999999999999">
      <c r="A49" s="1158"/>
      <c r="C49" s="900"/>
      <c r="D49" s="843"/>
      <c r="E49" s="716" t="str">
        <f>FHD_NUM_P_13</f>
        <v>2.4</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564</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12114" customFormat="1" customHeight="1" ht="11.549999999999999">
      <c r="A50" s="1158"/>
      <c r="C50" s="900"/>
      <c r="D50" s="843"/>
      <c r="E50" s="716" t="str">
        <f>FHD_NUM_P_14</f>
        <v>2.4.1</v>
      </c>
      <c r="F50" s="1820" t="str">
        <f>FHD_P_14</f>
        <v>Расходы на оплату труда основного производственного персонала</v>
      </c>
      <c r="G50" s="2048" t="s">
        <v>564</v>
      </c>
      <c r="H50" s="727"/>
      <c r="I50" s="727"/>
      <c r="J50" s="459" t="str">
        <f>FHD_NOTE_P_14</f>
        <v/>
      </c>
      <c r="K50" s="1806" t="str">
        <f>IF((LEN(E50)-LEN(SUBSTITUTE(E50,".","")))/LEN(".")=1,"p","")</f>
        <v/>
      </c>
      <c r="L50" s="900"/>
      <c r="M50" s="900"/>
      <c r="R50" s="900"/>
      <c r="U50" s="901"/>
      <c r="AA50" s="902"/>
      <c r="AB50" s="902"/>
      <c r="AC50" s="902"/>
      <c r="AD50" s="902"/>
      <c r="AE50" s="902"/>
      <c r="AF50" s="899">
        <v>11</v>
      </c>
    </row>
    <row s="12114" customFormat="1" customHeight="1" ht="11.549999999999999">
      <c r="A51" s="1158"/>
      <c r="C51" s="900"/>
      <c r="D51" s="843"/>
      <c r="E51" s="716" t="str">
        <f>FHD_NUM_P_15</f>
        <v>2.4.2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564</v>
      </c>
      <c r="H51" s="727"/>
      <c r="I51" s="727"/>
      <c r="J51" s="459" t="str">
        <f>FHD_NOTE_P_15</f>
        <v/>
      </c>
      <c r="K51" s="1806" t="str">
        <f>IF((LEN(E51)-LEN(SUBSTITUTE(E51,".","")))/LEN(".")=1,"p","")</f>
        <v/>
      </c>
      <c r="L51" s="900"/>
      <c r="M51" s="900"/>
      <c r="R51" s="900"/>
      <c r="U51" s="901"/>
      <c r="AA51" s="902"/>
      <c r="AB51" s="902"/>
      <c r="AC51" s="902"/>
      <c r="AD51" s="902"/>
      <c r="AE51" s="902"/>
      <c r="AF51" s="899">
        <v>11</v>
      </c>
    </row>
    <row s="9666" customFormat="1" customHeight="1" ht="11.549999999999999">
      <c r="A52" s="1157"/>
      <c r="C52" s="1806"/>
      <c r="D52" s="1808"/>
      <c r="E52" s="716" t="str">
        <f>FHD_NUM_P_16</f>
        <v>2.5</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564</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9666" customFormat="1" customHeight="1" ht="11.549999999999999">
      <c r="A53" s="1157"/>
      <c r="C53" s="1806"/>
      <c r="D53" s="1808"/>
      <c r="E53" s="716" t="str">
        <f>FHD_NUM_P_17</f>
        <v>2.5.1</v>
      </c>
      <c r="F53" s="1820" t="str">
        <f>FHD_P_17</f>
        <v>Расходы на оплату труда административно-управленческого персонала</v>
      </c>
      <c r="G53" s="2048" t="s">
        <v>564</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9666" customFormat="1" customHeight="1" ht="11.549999999999999">
      <c r="A54" s="1157"/>
      <c r="C54" s="1806"/>
      <c r="D54" s="1808"/>
      <c r="E54" s="716" t="str">
        <f>FHD_NUM_P_18</f>
        <v>2.5.2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564</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9666" customFormat="1" customHeight="1" ht="11.549999999999999">
      <c r="A55" s="1157"/>
      <c r="C55" s="1806"/>
      <c r="D55" s="745"/>
      <c r="E55" s="716" t="str">
        <f>FHD_NUM_P_19</f>
        <v>2.6</v>
      </c>
      <c r="F55" s="1694" t="str">
        <f>FHD_P_19</f>
        <v>Расходы на амортизацию основных средств и нематериальных активов</v>
      </c>
      <c r="G55" s="2048" t="s">
        <v>564</v>
      </c>
      <c r="H55" s="727"/>
      <c r="I55" s="727"/>
      <c r="J55" s="459" t="str">
        <f>FHD_NOTE_P_19</f>
        <v/>
      </c>
      <c r="K55" s="1806" t="str">
        <f>IF((LEN(E55)-LEN(SUBSTITUTE(E55,".","")))/LEN(".")=1,"p","")</f>
        <v>p</v>
      </c>
      <c r="L55" s="1806"/>
      <c r="M55" s="1806"/>
      <c r="R55" s="1806"/>
      <c r="U55" s="714"/>
      <c r="AA55" s="1802"/>
      <c r="AB55" s="1802"/>
      <c r="AC55" s="1802"/>
      <c r="AD55" s="1802"/>
      <c r="AE55" s="1802"/>
      <c r="AF55" s="1330">
        <v>11</v>
      </c>
    </row>
    <row s="9666" customFormat="1" customHeight="1" ht="11.549999999999999">
      <c r="A56" s="1157"/>
      <c r="C56" s="1806"/>
      <c r="D56" s="745"/>
      <c r="E56" s="716" t="str">
        <f>FHD_NUM_P_20</f>
        <v>2.6.1</v>
      </c>
      <c r="F56" s="1820" t="str">
        <f>FHD_P_20</f>
        <v>Расходы на амортизацию основных средств</v>
      </c>
      <c r="G56" s="2048" t="s">
        <v>564</v>
      </c>
      <c r="H56" s="727"/>
      <c r="I56" s="727"/>
      <c r="J56" s="459" t="str">
        <f>FHD_NOTE_P_20</f>
        <v/>
      </c>
      <c r="K56" s="1806" t="str">
        <f>IF((LEN(E56)-LEN(SUBSTITUTE(E56,".","")))/LEN(".")=1,"p","")</f>
        <v/>
      </c>
      <c r="L56" s="1806"/>
      <c r="M56" s="1806"/>
      <c r="R56" s="1806"/>
      <c r="U56" s="714"/>
      <c r="AA56" s="1802"/>
      <c r="AB56" s="1802"/>
      <c r="AC56" s="1802"/>
      <c r="AD56" s="1802"/>
      <c r="AE56" s="1802"/>
      <c r="AF56" s="1330">
        <v>11</v>
      </c>
    </row>
    <row s="9666" customFormat="1" customHeight="1" ht="11.549999999999999">
      <c r="A57" s="1157"/>
      <c r="C57" s="1806"/>
      <c r="D57" s="745"/>
      <c r="E57" s="716" t="str">
        <f>FHD_NUM_P_21</f>
        <v>2.6.2</v>
      </c>
      <c r="F57" s="1820" t="str">
        <f>FHD_P_21</f>
        <v>Расходы на амортизацию нематериальных активов</v>
      </c>
      <c r="G57" s="2048" t="s">
        <v>564</v>
      </c>
      <c r="H57" s="727"/>
      <c r="I57" s="727"/>
      <c r="J57" s="459" t="str">
        <f>FHD_NOTE_P_21</f>
        <v/>
      </c>
      <c r="K57" s="1806" t="str">
        <f>IF((LEN(E57)-LEN(SUBSTITUTE(E57,".","")))/LEN(".")=1,"p","")</f>
        <v/>
      </c>
      <c r="L57" s="1806"/>
      <c r="M57" s="1806"/>
      <c r="R57" s="1806"/>
      <c r="U57" s="714"/>
      <c r="AA57" s="1802"/>
      <c r="AB57" s="1802"/>
      <c r="AC57" s="1802"/>
      <c r="AD57" s="1802"/>
      <c r="AE57" s="1802"/>
      <c r="AF57" s="1330">
        <v>11</v>
      </c>
    </row>
    <row s="9666" customFormat="1" customHeight="1" ht="11.549999999999999">
      <c r="A58" s="1157"/>
      <c r="C58" s="1806"/>
      <c r="D58" s="1808"/>
      <c r="E58" s="716" t="str">
        <f>FHD_NUM_P_22</f>
        <v>2.7</v>
      </c>
      <c r="F58" s="1694" t="str">
        <f>FHD_P_22</f>
        <v>Расходы на аренду имущества, используемого для осуществления регулируемых видов деятельности в сфере холодного водоснабжения</v>
      </c>
      <c r="G58" s="2048" t="s">
        <v>564</v>
      </c>
      <c r="H58" s="727"/>
      <c r="I58" s="727"/>
      <c r="J58" s="459" t="str">
        <f>FHD_NOTE_P_22</f>
        <v/>
      </c>
      <c r="K58" s="1806" t="str">
        <f>IF((LEN(E58)-LEN(SUBSTITUTE(E58,".","")))/LEN(".")=1,"p","")</f>
        <v>p</v>
      </c>
      <c r="L58" s="1806"/>
      <c r="M58" s="1806"/>
      <c r="R58" s="1806"/>
      <c r="U58" s="714"/>
      <c r="AA58" s="1802"/>
      <c r="AB58" s="1802"/>
      <c r="AC58" s="1802"/>
      <c r="AD58" s="1802"/>
      <c r="AE58" s="1802"/>
      <c r="AF58" s="1330">
        <v>11</v>
      </c>
    </row>
    <row s="9666" customFormat="1" customHeight="1" ht="11.549999999999999">
      <c r="A59" s="1157"/>
      <c r="C59" s="1806"/>
      <c r="D59" s="745"/>
      <c r="E59" s="716" t="str">
        <f>FHD_NUM_P_23</f>
        <v>2.8</v>
      </c>
      <c r="F59" s="1694" t="str">
        <f>FHD_P_23</f>
        <v>Общепроизводственные расходы, в том числе:</v>
      </c>
      <c r="G59" s="2048" t="s">
        <v>564</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9666" customFormat="1" customHeight="1" ht="11.549999999999999">
      <c r="A60" s="1157"/>
      <c r="C60" s="1806"/>
      <c r="D60" s="745"/>
      <c r="E60" s="716" t="str">
        <f>FHD_NUM_P_24</f>
        <v>2.8.1</v>
      </c>
      <c r="F60" s="1820" t="str">
        <f>FHD_P_24</f>
        <v>Расходы на текущий ремонт</v>
      </c>
      <c r="G60" s="2048" t="s">
        <v>564</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9666" customFormat="1" customHeight="1" ht="11.549999999999999">
      <c r="A61" s="1157"/>
      <c r="C61" s="1806"/>
      <c r="D61" s="745"/>
      <c r="E61" s="716" t="str">
        <f>FHD_NUM_P_25</f>
        <v>2.8.2</v>
      </c>
      <c r="F61" s="1820" t="str">
        <f>FHD_P_25</f>
        <v>Расходы на капитальный ремонт</v>
      </c>
      <c r="G61" s="2048" t="s">
        <v>564</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9666" customFormat="1" customHeight="1" ht="11.549999999999999">
      <c r="A62" s="1157"/>
      <c r="C62" s="1806"/>
      <c r="D62" s="1808"/>
      <c r="E62" s="716" t="str">
        <f>FHD_NUM_P_26</f>
        <v>2.9</v>
      </c>
      <c r="F62" s="1694" t="str">
        <f>FHD_P_26</f>
        <v>Общехозяйственные расходы, в том числе:</v>
      </c>
      <c r="G62" s="2048" t="s">
        <v>564</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9666" customFormat="1" customHeight="1" ht="11.549999999999999">
      <c r="A63" s="1157"/>
      <c r="C63" s="1806"/>
      <c r="D63" s="1808"/>
      <c r="E63" s="716" t="str">
        <f>FHD_NUM_P_27</f>
        <v>2.9.1</v>
      </c>
      <c r="F63" s="1820" t="str">
        <f>FHD_P_27</f>
        <v>Расходы на текущий ремонт</v>
      </c>
      <c r="G63" s="2048" t="s">
        <v>564</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9666" customFormat="1" customHeight="1" ht="11.549999999999999">
      <c r="A64" s="1157"/>
      <c r="C64" s="1806"/>
      <c r="D64" s="1808"/>
      <c r="E64" s="716" t="str">
        <f>FHD_NUM_P_28</f>
        <v>2.9.2</v>
      </c>
      <c r="F64" s="1820" t="str">
        <f>FHD_P_28</f>
        <v>Расходы на капитальный ремонт</v>
      </c>
      <c r="G64" s="2048" t="s">
        <v>564</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9666" customFormat="1" customHeight="1" ht="11.549999999999999">
      <c r="A65" s="1157"/>
      <c r="C65" s="1806"/>
      <c r="D65" s="1808"/>
      <c r="E65" s="716" t="str">
        <f>FHD_NUM_P_29</f>
        <v>2.10</v>
      </c>
      <c r="F65" s="1694" t="str">
        <f>FHD_P_29</f>
        <v>Расходы на капитальный и текущий ремонт основных средств</v>
      </c>
      <c r="G65" s="2048" t="s">
        <v>564</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9666" customFormat="1" customHeight="1" ht="11.549999999999999">
      <c r="A66" s="1157"/>
      <c r="C66" s="1806"/>
      <c r="D66" s="1808"/>
      <c r="E66" s="716" t="str">
        <f>FHD_NUM_P_30</f>
        <v>2.10.1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309</v>
      </c>
      <c r="H66" s="1819" t="s">
        <v>587</v>
      </c>
      <c r="I66" s="1819" t="s">
        <v>587</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9666" customFormat="1" customHeight="1" ht="23.25">
      <c r="A67" s="2541" t="s">
        <v>588</v>
      </c>
      <c r="C67" s="1806"/>
      <c r="D67" s="1808"/>
      <c r="E67" s="716" t="str">
        <f>FHD_NUM_P_31</f>
        <v>2.11</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48" t="s">
        <v>564</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9666" customFormat="1" customHeight="1" ht="47.25">
      <c r="A68" s="2541"/>
      <c r="C68" s="1806"/>
      <c r="D68" s="1808"/>
      <c r="E68" s="716" t="str">
        <f>FHD_NUM_P_32</f>
        <v>2.11.1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309</v>
      </c>
      <c r="H68" s="1819" t="s">
        <v>587</v>
      </c>
      <c r="I68" s="1819" t="s">
        <v>587</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9666" customFormat="1" customHeight="1" ht="11.549999999999999">
      <c r="A69" s="1157"/>
      <c r="C69" s="1806"/>
      <c r="D69" s="1808"/>
      <c r="E69" s="716" t="str">
        <f>FHD_NUM_P_33</f>
        <v>2.12</v>
      </c>
      <c r="F69" s="169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49" t="s">
        <v>564</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9667" customFormat="1" customHeight="1" ht="1.05">
      <c r="A70" s="1337"/>
      <c r="D70" s="718"/>
      <c r="E70" s="1183" t="str">
        <f>E69&amp;".0"</f>
        <v>2.12.0</v>
      </c>
      <c r="F70" s="1161"/>
      <c r="G70" s="1183"/>
      <c r="H70" s="1162"/>
      <c r="I70" s="1162"/>
      <c r="J70" s="1163"/>
      <c r="K70" s="1806" t="str">
        <f>IF((LEN(E70)-LEN(SUBSTITUTE(E70,".","")))/LEN(".")=1,"p","")</f>
        <v/>
      </c>
      <c r="AF70" s="1806">
        <v>1</v>
      </c>
    </row>
    <row s="9666" customFormat="1" customHeight="1" ht="14.699999999999998">
      <c r="A71" s="1157"/>
      <c r="C71" s="1806"/>
      <c r="D71" s="1803"/>
      <c r="E71" s="740"/>
      <c r="F71" s="741" t="s">
        <v>589</v>
      </c>
      <c r="G71" s="742"/>
      <c r="H71" s="743"/>
      <c r="I71" s="743"/>
      <c r="J71" s="471"/>
      <c r="K71" s="1806"/>
      <c r="L71" s="1806"/>
      <c r="M71" s="1806"/>
      <c r="R71" s="1806"/>
      <c r="U71" s="714"/>
      <c r="AA71" s="1802"/>
      <c r="AB71" s="1802"/>
      <c r="AC71" s="1802"/>
      <c r="AD71" s="1802"/>
      <c r="AE71" s="1802"/>
      <c r="AF71" s="1330">
        <v>14</v>
      </c>
    </row>
    <row s="9666" customFormat="1" customHeight="1" ht="18.75" hidden="1">
      <c r="A72" s="1159" t="s">
        <v>590</v>
      </c>
      <c r="C72" s="1806"/>
      <c r="D72" s="1808"/>
      <c r="E72" s="716" t="str">
        <f>FHD_NUM_P_34</f>
        <v/>
      </c>
      <c r="F72" s="2050" t="str">
        <f>FHD_P_34</f>
        <v/>
      </c>
      <c r="G72" s="2048" t="s">
        <v>564</v>
      </c>
      <c r="H72" s="727"/>
      <c r="I72" s="727"/>
      <c r="J72" s="459" t="str">
        <f>FHD_NOTE_P_34</f>
        <v/>
      </c>
      <c r="K72" s="713"/>
      <c r="L72" s="1806"/>
      <c r="M72" s="1806"/>
      <c r="R72" s="1806"/>
      <c r="U72" s="714"/>
      <c r="AA72" s="1802"/>
      <c r="AB72" s="1802"/>
      <c r="AC72" s="1802"/>
      <c r="AD72" s="1802"/>
      <c r="AE72" s="1802"/>
      <c r="AF72" s="1330">
        <v>0</v>
      </c>
    </row>
    <row s="9666" customFormat="1" customHeight="1" ht="19.95">
      <c r="A73" s="1157"/>
      <c r="C73" s="1806"/>
      <c r="D73" s="745"/>
      <c r="E73" s="716" t="str">
        <f>FHD_NUM_P_35</f>
        <v>3</v>
      </c>
      <c r="F73" s="2050" t="str">
        <f>FHD_P_35</f>
        <v>Чистая прибыль, полученная от регулируемого вида деятельности в сфере холодного водоснабжения, в том числе:</v>
      </c>
      <c r="G73" s="2048" t="s">
        <v>564</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9666"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564</v>
      </c>
      <c r="H74" s="727"/>
      <c r="I74" s="727"/>
      <c r="J74" s="459" t="str">
        <f>FHD_NOTE_P_36</f>
        <v/>
      </c>
      <c r="K74" s="713"/>
      <c r="L74" s="1806"/>
      <c r="M74" s="1806"/>
      <c r="R74" s="1806"/>
      <c r="U74" s="714"/>
      <c r="AA74" s="1802"/>
      <c r="AB74" s="1802"/>
      <c r="AC74" s="1802"/>
      <c r="AD74" s="1802"/>
      <c r="AE74" s="1802"/>
      <c r="AF74" s="1330">
        <v>19</v>
      </c>
    </row>
    <row s="9666" customFormat="1" customHeight="1" ht="19.95">
      <c r="A75" s="1157"/>
      <c r="C75" s="1806"/>
      <c r="D75" s="1808"/>
      <c r="E75" s="716" t="str">
        <f>FHD_NUM_P_37</f>
        <v>4</v>
      </c>
      <c r="F75" s="2050" t="str">
        <f>FHD_P_37</f>
        <v>Изменение стоимости основных фондов, в том числе:</v>
      </c>
      <c r="G75" s="2048" t="s">
        <v>564</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9666"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564</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9666"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564</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9666"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564</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9666" customFormat="1" customHeight="1" ht="19.95">
      <c r="A79" s="1157"/>
      <c r="C79" s="1806"/>
      <c r="D79" s="1808"/>
      <c r="E79" s="716" t="str">
        <f>FHD_NUM_P_41</f>
        <v>4.2</v>
      </c>
      <c r="F79" s="2245" t="str">
        <f>FHD_P_41</f>
        <v>Изменение стоимости основных фондов за счет их переоценки</v>
      </c>
      <c r="G79" s="2241" t="s">
        <v>564</v>
      </c>
      <c r="H79" s="1146"/>
      <c r="I79" s="727"/>
      <c r="J79" s="459" t="str">
        <f>FHD_NOTE_P_41</f>
        <v/>
      </c>
      <c r="K79" s="713"/>
      <c r="L79" s="1806"/>
      <c r="M79" s="1806"/>
      <c r="R79" s="1806"/>
      <c r="U79" s="714"/>
      <c r="AA79" s="1802"/>
      <c r="AB79" s="1802"/>
      <c r="AC79" s="1802"/>
      <c r="AD79" s="1802"/>
      <c r="AE79" s="1802"/>
      <c r="AF79" s="1330">
        <v>19</v>
      </c>
    </row>
    <row s="9666" customFormat="1" customHeight="1" ht="19.95">
      <c r="A80" s="1159" t="s">
        <v>591</v>
      </c>
      <c r="C80" s="1806"/>
      <c r="D80" s="1808"/>
      <c r="E80" s="716" t="str">
        <f>FHD_NUM_P_42</f>
        <v>5</v>
      </c>
      <c r="F80" s="2243" t="str">
        <f>FHD_P_42</f>
        <v>Валовая прибыль (убытки) от продажи товаров и услуг по регулируемым видам деятельности в сфере холодного водоснабжения</v>
      </c>
      <c r="G80" s="2241" t="s">
        <v>564</v>
      </c>
      <c r="H80" s="1146"/>
      <c r="I80" s="727"/>
      <c r="J80" s="459" t="str">
        <f>FHD_NOTE_P_42</f>
        <v/>
      </c>
      <c r="K80" s="713"/>
      <c r="L80" s="1806"/>
      <c r="M80" s="1806"/>
      <c r="R80" s="1806"/>
      <c r="U80" s="714"/>
      <c r="AA80" s="1802"/>
      <c r="AB80" s="1802"/>
      <c r="AC80" s="1802"/>
      <c r="AD80" s="1802"/>
      <c r="AE80" s="1802"/>
      <c r="AF80" s="1330">
        <v>19</v>
      </c>
    </row>
    <row s="9666"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309</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9666" customFormat="1" customHeight="1" ht="18.75">
      <c r="A82" s="2541" t="s">
        <v>592</v>
      </c>
      <c r="C82" s="905"/>
      <c r="D82" s="903"/>
      <c r="E82" s="716" t="str">
        <f>FHD_NUM_P_44</f>
        <v>7</v>
      </c>
      <c r="F82" s="2050" t="str">
        <f>FHD_P_44</f>
        <v>Объём поднятой воды</v>
      </c>
      <c r="G82" s="2051" t="s">
        <v>593</v>
      </c>
      <c r="H82" s="1147"/>
      <c r="I82" s="747"/>
      <c r="J82" s="459" t="str">
        <f>FHD_NOTE_P_44</f>
        <v/>
      </c>
      <c r="K82" s="904"/>
      <c r="L82" s="905"/>
      <c r="M82" s="905"/>
      <c r="R82" s="905"/>
      <c r="U82" s="906"/>
      <c r="AA82" s="907"/>
      <c r="AB82" s="907"/>
      <c r="AC82" s="907"/>
      <c r="AD82" s="907"/>
      <c r="AE82" s="907"/>
      <c r="AF82" s="1080">
        <v>0</v>
      </c>
    </row>
    <row s="9666" customFormat="1" customHeight="1" ht="18.75">
      <c r="A83" s="2541"/>
      <c r="C83" s="905"/>
      <c r="D83" s="903"/>
      <c r="E83" s="716" t="str">
        <f>FHD_NUM_P_45</f>
        <v>8</v>
      </c>
      <c r="F83" s="2050" t="str">
        <f>FHD_P_45</f>
        <v>Объём покупной воды</v>
      </c>
      <c r="G83" s="2051" t="s">
        <v>593</v>
      </c>
      <c r="H83" s="1147"/>
      <c r="I83" s="747"/>
      <c r="J83" s="459" t="str">
        <f>FHD_NOTE_P_45</f>
        <v/>
      </c>
      <c r="K83" s="904"/>
      <c r="L83" s="905"/>
      <c r="M83" s="905"/>
      <c r="R83" s="905"/>
      <c r="U83" s="906"/>
      <c r="AA83" s="907"/>
      <c r="AB83" s="907"/>
      <c r="AC83" s="907"/>
      <c r="AD83" s="907"/>
      <c r="AE83" s="907"/>
      <c r="AF83" s="1080">
        <v>0</v>
      </c>
    </row>
    <row s="9666" customFormat="1" customHeight="1" ht="18.75">
      <c r="A84" s="2541"/>
      <c r="C84" s="905"/>
      <c r="D84" s="908"/>
      <c r="E84" s="716" t="str">
        <f>FHD_NUM_P_46</f>
        <v>9</v>
      </c>
      <c r="F84" s="2050" t="str">
        <f>FHD_P_46</f>
        <v>Объём воды, пропущенной через очистные сооружения</v>
      </c>
      <c r="G84" s="2051" t="s">
        <v>593</v>
      </c>
      <c r="H84" s="1147"/>
      <c r="I84" s="747"/>
      <c r="J84" s="459" t="str">
        <f>FHD_NOTE_P_46</f>
        <v/>
      </c>
      <c r="K84" s="904"/>
      <c r="L84" s="905"/>
      <c r="M84" s="905"/>
      <c r="R84" s="905"/>
      <c r="U84" s="906"/>
      <c r="AA84" s="907"/>
      <c r="AB84" s="907"/>
      <c r="AC84" s="907"/>
      <c r="AD84" s="907"/>
      <c r="AE84" s="907"/>
      <c r="AF84" s="1080">
        <v>0</v>
      </c>
    </row>
    <row s="9666" customFormat="1" customHeight="1" ht="18.75">
      <c r="A85" s="2541"/>
      <c r="C85" s="905"/>
      <c r="D85" s="903"/>
      <c r="E85" s="716" t="str">
        <f>FHD_NUM_P_47</f>
        <v>10</v>
      </c>
      <c r="F85" s="2050" t="str">
        <f>FHD_P_47</f>
        <v>Объём отпущенной потребителям воды, в том числе:</v>
      </c>
      <c r="G85" s="2051" t="s">
        <v>593</v>
      </c>
      <c r="H85" s="1147"/>
      <c r="I85" s="747"/>
      <c r="J85" s="459" t="str">
        <f>FHD_NOTE_P_47</f>
        <v>Указывается общий объем отпущенной потребителям воды.</v>
      </c>
      <c r="K85" s="904"/>
      <c r="L85" s="905"/>
      <c r="M85" s="905"/>
      <c r="R85" s="905"/>
      <c r="U85" s="906"/>
      <c r="AA85" s="907"/>
      <c r="AB85" s="907"/>
      <c r="AC85" s="907"/>
      <c r="AD85" s="907"/>
      <c r="AE85" s="907"/>
      <c r="AF85" s="1080">
        <v>0</v>
      </c>
    </row>
    <row s="9589" customFormat="1" customHeight="1" ht="18.75">
      <c r="A86" s="2541"/>
      <c r="B86" s="1080"/>
      <c r="C86" s="905"/>
      <c r="D86" s="903"/>
      <c r="E86" s="716" t="str">
        <f>FHD_NUM_P_48</f>
        <v>10.1</v>
      </c>
      <c r="F86" s="2050" t="str">
        <f>FHD_P_48</f>
        <v>Объём отпущенной потребителям воды, определенный по приборам учета</v>
      </c>
      <c r="G86" s="2051" t="s">
        <v>593</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9589" customFormat="1" customHeight="1" ht="18.75">
      <c r="A87" s="2541"/>
      <c r="B87" s="1080"/>
      <c r="C87" s="905"/>
      <c r="D87" s="903"/>
      <c r="E87" s="716" t="str">
        <f>FHD_NUM_P_49</f>
        <v>10.2</v>
      </c>
      <c r="F87" s="2050" t="str">
        <f>FHD_P_49</f>
        <v>Объём отпущенной потребителям воды, определенный расчетным способом</v>
      </c>
      <c r="G87" s="2051" t="s">
        <v>593</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9589" customFormat="1" customHeight="1" ht="18.75">
      <c r="A88" s="2541"/>
      <c r="B88" s="1080"/>
      <c r="C88" s="905"/>
      <c r="D88" s="903"/>
      <c r="E88" s="716" t="str">
        <f>FHD_NUM_P_50</f>
        <v>10.2.1</v>
      </c>
      <c r="F88" s="2050" t="str">
        <f>FHD_P_50</f>
        <v>Объём отпущенной потребителям воды, определенный по нормативам потребления коммунальных услуг</v>
      </c>
      <c r="G88" s="2051" t="s">
        <v>593</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9589" customFormat="1" customHeight="1" ht="18.75">
      <c r="A89" s="2541"/>
      <c r="B89" s="1080"/>
      <c r="C89" s="905"/>
      <c r="D89" s="903"/>
      <c r="E89" s="716" t="str">
        <f>FHD_NUM_P_51</f>
        <v>10.2.2</v>
      </c>
      <c r="F89" s="2050" t="str">
        <f>FHD_P_51</f>
        <v>Объём отпущенной потребителям воды, определенный по нормативам потребления коммунальных ресурсов </v>
      </c>
      <c r="G89" s="2051" t="s">
        <v>593</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9589" customFormat="1" customHeight="1" ht="18.75">
      <c r="A90" s="2541"/>
      <c r="B90" s="1080"/>
      <c r="C90" s="905"/>
      <c r="D90" s="903"/>
      <c r="E90" s="716" t="str">
        <f>FHD_NUM_P_52</f>
        <v>11</v>
      </c>
      <c r="F90" s="2050" t="str">
        <f>FHD_P_52</f>
        <v>Потери воды в сетях</v>
      </c>
      <c r="G90" s="2051" t="s">
        <v>570</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9666" customFormat="1" customHeight="1" ht="18.75" hidden="1">
      <c r="A91" s="2543" t="s">
        <v>594</v>
      </c>
      <c r="C91" s="905"/>
      <c r="D91" s="903"/>
      <c r="E91" s="716" t="str">
        <f>FHD_NUM_P_53</f>
        <v/>
      </c>
      <c r="F91" s="2050" t="str">
        <f>FHD_P_53</f>
        <v/>
      </c>
      <c r="G91" s="2051" t="s">
        <v>593</v>
      </c>
      <c r="H91" s="1147"/>
      <c r="I91" s="747"/>
      <c r="J91" s="459" t="str">
        <f>FHD_NOTE_P_53</f>
        <v/>
      </c>
      <c r="K91" s="904"/>
      <c r="L91" s="905"/>
      <c r="M91" s="905"/>
      <c r="R91" s="905"/>
      <c r="U91" s="906"/>
      <c r="AA91" s="907"/>
      <c r="AB91" s="907"/>
      <c r="AC91" s="907"/>
      <c r="AD91" s="907"/>
      <c r="AE91" s="907"/>
      <c r="AF91" s="1080">
        <v>0</v>
      </c>
    </row>
    <row s="9666" customFormat="1" customHeight="1" ht="18.75" hidden="1">
      <c r="A92" s="2543"/>
      <c r="C92" s="905"/>
      <c r="D92" s="903"/>
      <c r="E92" s="716" t="str">
        <f>FHD_NUM_P_54</f>
        <v/>
      </c>
      <c r="F92" s="2050" t="str">
        <f>FHD_P_54</f>
        <v/>
      </c>
      <c r="G92" s="2051" t="s">
        <v>593</v>
      </c>
      <c r="H92" s="1147"/>
      <c r="I92" s="747"/>
      <c r="J92" s="459" t="str">
        <f>FHD_NOTE_P_54</f>
        <v/>
      </c>
      <c r="K92" s="904"/>
      <c r="L92" s="905"/>
      <c r="M92" s="905"/>
      <c r="R92" s="905"/>
      <c r="U92" s="906"/>
      <c r="AA92" s="907"/>
      <c r="AB92" s="907"/>
      <c r="AC92" s="907"/>
      <c r="AD92" s="907"/>
      <c r="AE92" s="907"/>
      <c r="AF92" s="1080">
        <v>0</v>
      </c>
    </row>
    <row s="9666"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9666" customFormat="1" customHeight="1" ht="18.75" hidden="1">
      <c r="A94" s="2543"/>
      <c r="C94" s="905"/>
      <c r="D94" s="903"/>
      <c r="E94" s="716" t="str">
        <f>FHD_NUM_P_56</f>
        <v/>
      </c>
      <c r="F94" s="2050" t="str">
        <f>FHD_P_56</f>
        <v/>
      </c>
      <c r="G94" s="2051" t="s">
        <v>595</v>
      </c>
      <c r="H94" s="1147"/>
      <c r="I94" s="747"/>
      <c r="J94" s="459" t="str">
        <f>FHD_NOTE_P_56</f>
        <v/>
      </c>
      <c r="K94" s="904"/>
      <c r="L94" s="905"/>
      <c r="M94" s="905"/>
      <c r="R94" s="905"/>
      <c r="U94" s="906"/>
      <c r="AA94" s="907"/>
      <c r="AB94" s="907"/>
      <c r="AC94" s="907"/>
      <c r="AD94" s="907"/>
      <c r="AE94" s="907"/>
      <c r="AF94" s="1080">
        <v>0</v>
      </c>
    </row>
    <row s="9589" customFormat="1" customHeight="1" ht="18.75" hidden="1">
      <c r="A95" s="2543"/>
      <c r="B95" s="1080"/>
      <c r="C95" s="905"/>
      <c r="D95" s="903"/>
      <c r="E95" s="716" t="str">
        <f>FHD_NUM_P_57</f>
        <v/>
      </c>
      <c r="F95" s="2050" t="str">
        <f>FHD_P_57</f>
        <v/>
      </c>
      <c r="G95" s="2051" t="s">
        <v>570</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596</v>
      </c>
      <c r="D96" s="1808"/>
      <c r="E96" s="716" t="str">
        <f>FHD_NUM_P_58</f>
        <v/>
      </c>
      <c r="F96" s="2050" t="str">
        <f>FHD_P_58</f>
        <v/>
      </c>
      <c r="G96" s="2051" t="s">
        <v>593</v>
      </c>
      <c r="H96" s="1147"/>
      <c r="I96" s="747"/>
      <c r="J96" s="459" t="str">
        <f>FHD_NOTE_P_58</f>
        <v/>
      </c>
      <c r="K96" s="713"/>
      <c r="AF96" s="1801">
        <v>0</v>
      </c>
    </row>
    <row customHeight="1" ht="18.75" hidden="1">
      <c r="A97" s="2541"/>
      <c r="D97" s="1808"/>
      <c r="E97" s="716" t="str">
        <f>FHD_NUM_P_59</f>
        <v/>
      </c>
      <c r="F97" s="2050" t="str">
        <f>FHD_P_59</f>
        <v/>
      </c>
      <c r="G97" s="2051" t="s">
        <v>593</v>
      </c>
      <c r="H97" s="1147"/>
      <c r="I97" s="747"/>
      <c r="J97" s="459" t="str">
        <f>FHD_NOTE_P_59</f>
        <v/>
      </c>
      <c r="K97" s="713"/>
      <c r="AF97" s="1801">
        <v>0</v>
      </c>
    </row>
    <row customHeight="1" ht="18.75" hidden="1">
      <c r="A98" s="2541"/>
      <c r="D98" s="1808"/>
      <c r="E98" s="716" t="str">
        <f>FHD_NUM_P_60</f>
        <v/>
      </c>
      <c r="F98" s="2050" t="str">
        <f>FHD_P_60</f>
        <v/>
      </c>
      <c r="G98" s="2051" t="s">
        <v>593</v>
      </c>
      <c r="H98" s="1147"/>
      <c r="I98" s="747"/>
      <c r="J98" s="459" t="str">
        <f>FHD_NOTE_P_60</f>
        <v/>
      </c>
      <c r="K98" s="713"/>
      <c r="AF98" s="1801">
        <v>0</v>
      </c>
    </row>
    <row s="9666" customFormat="1" customHeight="1" ht="18.75" hidden="1">
      <c r="A99" s="2541" t="s">
        <v>597</v>
      </c>
      <c r="C99" s="1806"/>
      <c r="D99" s="1808"/>
      <c r="E99" s="716" t="str">
        <f>FHD_NUM_P_61</f>
        <v/>
      </c>
      <c r="F99" s="2050" t="str">
        <f>FHD_P_61</f>
        <v/>
      </c>
      <c r="G99" s="2048" t="s">
        <v>568</v>
      </c>
      <c r="H99" s="1149"/>
      <c r="I99" s="912"/>
      <c r="J99" s="459" t="str">
        <f>FHD_NOTE_P_61</f>
        <v/>
      </c>
      <c r="K99" s="713"/>
      <c r="L99" s="1806"/>
      <c r="M99" s="1806"/>
      <c r="R99" s="1806"/>
      <c r="U99" s="714"/>
      <c r="AA99" s="1802"/>
      <c r="AB99" s="1802"/>
      <c r="AC99" s="1802"/>
      <c r="AD99" s="1802"/>
      <c r="AE99" s="1802"/>
      <c r="AF99" s="1330">
        <v>0</v>
      </c>
    </row>
    <row s="9667"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598</v>
      </c>
      <c r="G101" s="742"/>
      <c r="H101" s="743"/>
      <c r="I101" s="743"/>
      <c r="J101" s="1174" t="s">
        <v>599</v>
      </c>
      <c r="K101" s="713"/>
      <c r="AF101" s="1801">
        <v>0</v>
      </c>
    </row>
    <row s="9666" customFormat="1" customHeight="1" ht="18.75" hidden="1">
      <c r="A102" s="2541"/>
      <c r="C102" s="1806"/>
      <c r="D102" s="1808"/>
      <c r="E102" s="716" t="str">
        <f>FHD_NUM_P_62</f>
        <v/>
      </c>
      <c r="F102" s="2050" t="str">
        <f>FHD_P_62</f>
        <v/>
      </c>
      <c r="G102" s="2047" t="s">
        <v>568</v>
      </c>
      <c r="H102" s="727"/>
      <c r="I102" s="727"/>
      <c r="J102" s="459" t="str">
        <f>FHD_NOTE_P_62</f>
        <v/>
      </c>
      <c r="K102" s="713"/>
      <c r="L102" s="1806"/>
      <c r="M102" s="1806"/>
      <c r="R102" s="1806"/>
      <c r="U102" s="714"/>
      <c r="AA102" s="1802"/>
      <c r="AB102" s="1802"/>
      <c r="AC102" s="1802"/>
      <c r="AD102" s="1802"/>
      <c r="AE102" s="1802"/>
      <c r="AF102" s="1330">
        <v>0</v>
      </c>
    </row>
    <row s="9666" customFormat="1" customHeight="1" ht="18.75" hidden="1">
      <c r="A103" s="2541"/>
      <c r="C103" s="1806"/>
      <c r="D103" s="1808"/>
      <c r="E103" s="716" t="str">
        <f>FHD_NUM_P_63</f>
        <v/>
      </c>
      <c r="F103" s="2050" t="str">
        <f>FHD_P_63</f>
        <v/>
      </c>
      <c r="G103" s="2047" t="s">
        <v>595</v>
      </c>
      <c r="H103" s="747"/>
      <c r="I103" s="747"/>
      <c r="J103" s="459" t="str">
        <f>FHD_NOTE_P_63</f>
        <v/>
      </c>
      <c r="K103" s="713"/>
      <c r="L103" s="1806"/>
      <c r="M103" s="1806"/>
      <c r="R103" s="1806"/>
      <c r="U103" s="714"/>
      <c r="AA103" s="1802"/>
      <c r="AB103" s="1802"/>
      <c r="AC103" s="1802"/>
      <c r="AD103" s="1802"/>
      <c r="AE103" s="1802"/>
      <c r="AF103" s="1330">
        <v>0</v>
      </c>
    </row>
    <row s="9666" customFormat="1" customHeight="1" ht="18.75" hidden="1">
      <c r="A104" s="2541"/>
      <c r="C104" s="1806" t="s">
        <v>600</v>
      </c>
      <c r="D104" s="1808"/>
      <c r="E104" s="716" t="str">
        <f>FHD_NUM_P_64</f>
        <v/>
      </c>
      <c r="F104" s="2050" t="str">
        <f>FHD_P_64</f>
        <v/>
      </c>
      <c r="G104" s="2047" t="s">
        <v>595</v>
      </c>
      <c r="H104" s="715"/>
      <c r="I104" s="715"/>
      <c r="J104" s="459" t="str">
        <f>FHD_NOTE_P_64</f>
        <v/>
      </c>
      <c r="K104" s="713"/>
      <c r="L104" s="1806"/>
      <c r="M104" s="1806"/>
      <c r="R104" s="1806"/>
      <c r="U104" s="714"/>
      <c r="AA104" s="1802"/>
      <c r="AB104" s="1802"/>
      <c r="AC104" s="1802"/>
      <c r="AD104" s="1802"/>
      <c r="AE104" s="1802"/>
      <c r="AF104" s="1330">
        <v>0</v>
      </c>
    </row>
    <row s="9666" customFormat="1" customHeight="1" ht="18.75" hidden="1">
      <c r="A105" s="2541"/>
      <c r="C105" s="1806"/>
      <c r="D105" s="1808"/>
      <c r="E105" s="716" t="str">
        <f>FHD_NUM_P_65</f>
        <v/>
      </c>
      <c r="F105" s="2050" t="str">
        <f>FHD_P_65</f>
        <v/>
      </c>
      <c r="G105" s="2047" t="s">
        <v>595</v>
      </c>
      <c r="H105" s="747"/>
      <c r="I105" s="747"/>
      <c r="J105" s="459" t="str">
        <f>FHD_NOTE_P_65</f>
        <v/>
      </c>
      <c r="K105" s="713"/>
      <c r="L105" s="1806"/>
      <c r="M105" s="1806"/>
      <c r="R105" s="1806"/>
      <c r="U105" s="714"/>
      <c r="AA105" s="1802"/>
      <c r="AB105" s="1802"/>
      <c r="AC105" s="1802"/>
      <c r="AD105" s="1802"/>
      <c r="AE105" s="1802"/>
      <c r="AF105" s="1330">
        <v>0</v>
      </c>
    </row>
    <row s="9666" customFormat="1" customHeight="1" ht="18.75" hidden="1">
      <c r="A106" s="2541"/>
      <c r="C106" s="1806"/>
      <c r="D106" s="1808"/>
      <c r="E106" s="716" t="str">
        <f>FHD_NUM_P_66</f>
        <v/>
      </c>
      <c r="F106" s="1694" t="str">
        <f>FHD_P_66</f>
        <v/>
      </c>
      <c r="G106" s="2047" t="s">
        <v>595</v>
      </c>
      <c r="H106" s="747"/>
      <c r="I106" s="747"/>
      <c r="J106" s="459" t="str">
        <f>FHD_NOTE_P_66</f>
        <v/>
      </c>
      <c r="K106" s="713"/>
      <c r="L106" s="1806"/>
      <c r="M106" s="1806"/>
      <c r="R106" s="1806"/>
      <c r="U106" s="714"/>
      <c r="AA106" s="1802"/>
      <c r="AB106" s="1802"/>
      <c r="AC106" s="1802"/>
      <c r="AD106" s="1802"/>
      <c r="AE106" s="1802"/>
      <c r="AF106" s="1330">
        <v>0</v>
      </c>
    </row>
    <row s="9666" customFormat="1" customHeight="1" ht="18.75" hidden="1">
      <c r="A107" s="2541"/>
      <c r="C107" s="1806"/>
      <c r="D107" s="1808"/>
      <c r="E107" s="716" t="str">
        <f>FHD_NUM_P_67</f>
        <v/>
      </c>
      <c r="F107" s="1820" t="str">
        <f>FHD_P_67</f>
        <v/>
      </c>
      <c r="G107" s="2047" t="s">
        <v>595</v>
      </c>
      <c r="H107" s="747"/>
      <c r="I107" s="747"/>
      <c r="J107" s="459" t="str">
        <f>FHD_NOTE_P_67</f>
        <v/>
      </c>
      <c r="K107" s="713"/>
      <c r="L107" s="1806"/>
      <c r="M107" s="1806"/>
      <c r="R107" s="1806"/>
      <c r="U107" s="714"/>
      <c r="AA107" s="1802"/>
      <c r="AB107" s="1802"/>
      <c r="AC107" s="1802"/>
      <c r="AD107" s="1802"/>
      <c r="AE107" s="1802"/>
      <c r="AF107" s="1330">
        <v>0</v>
      </c>
    </row>
    <row s="9666" customFormat="1" customHeight="1" ht="18.75" hidden="1">
      <c r="A108" s="2541"/>
      <c r="C108" s="1806"/>
      <c r="D108" s="1808"/>
      <c r="E108" s="716" t="str">
        <f>FHD_NUM_P_68</f>
        <v/>
      </c>
      <c r="F108" s="1694" t="str">
        <f>FHD_P_68</f>
        <v/>
      </c>
      <c r="G108" s="2047" t="s">
        <v>595</v>
      </c>
      <c r="H108" s="747"/>
      <c r="I108" s="747"/>
      <c r="J108" s="459" t="str">
        <f>FHD_NOTE_P_68</f>
        <v/>
      </c>
      <c r="K108" s="713"/>
      <c r="L108" s="1806"/>
      <c r="M108" s="1806"/>
      <c r="R108" s="1806"/>
      <c r="U108" s="714"/>
      <c r="AA108" s="1802"/>
      <c r="AB108" s="1802"/>
      <c r="AC108" s="1802"/>
      <c r="AD108" s="1802"/>
      <c r="AE108" s="1802"/>
      <c r="AF108" s="1330">
        <v>0</v>
      </c>
    </row>
    <row s="9666" customFormat="1" customHeight="1" ht="18.75" hidden="1">
      <c r="A109" s="2541"/>
      <c r="C109" s="1806"/>
      <c r="D109" s="1808"/>
      <c r="E109" s="716" t="str">
        <f>FHD_NUM_P_69</f>
        <v/>
      </c>
      <c r="F109" s="1694" t="str">
        <f>FHD_P_69</f>
        <v/>
      </c>
      <c r="G109" s="2047" t="s">
        <v>595</v>
      </c>
      <c r="H109" s="747"/>
      <c r="I109" s="747"/>
      <c r="J109" s="459" t="str">
        <f>FHD_NOTE_P_69</f>
        <v/>
      </c>
      <c r="K109" s="713"/>
      <c r="L109" s="1806"/>
      <c r="M109" s="1806"/>
      <c r="R109" s="1806"/>
      <c r="U109" s="714"/>
      <c r="AA109" s="1802"/>
      <c r="AB109" s="1802"/>
      <c r="AC109" s="1802"/>
      <c r="AD109" s="1802"/>
      <c r="AE109" s="1802"/>
      <c r="AF109" s="1330">
        <v>0</v>
      </c>
    </row>
    <row s="9666" customFormat="1" customHeight="1" ht="22.5" hidden="1">
      <c r="A110" s="2541"/>
      <c r="C110" s="1806"/>
      <c r="D110" s="1808"/>
      <c r="E110" s="716" t="str">
        <f>FHD_NUM_P_70</f>
        <v/>
      </c>
      <c r="F110" s="2050" t="str">
        <f>FHD_P_70</f>
        <v/>
      </c>
      <c r="G110" s="2047" t="s">
        <v>601</v>
      </c>
      <c r="H110" s="727"/>
      <c r="I110" s="727"/>
      <c r="J110" s="459" t="str">
        <f>FHD_NOTE_P_70</f>
        <v/>
      </c>
      <c r="K110" s="713"/>
      <c r="L110" s="1806"/>
      <c r="M110" s="1806"/>
      <c r="R110" s="1806"/>
      <c r="U110" s="714"/>
      <c r="AA110" s="1802"/>
      <c r="AB110" s="1802"/>
      <c r="AC110" s="1802"/>
      <c r="AD110" s="1802"/>
      <c r="AE110" s="1802"/>
      <c r="AF110" s="1330">
        <v>0</v>
      </c>
    </row>
    <row s="9666" customFormat="1" customHeight="1" ht="22.5" hidden="1">
      <c r="A111" s="2541"/>
      <c r="C111" s="1806"/>
      <c r="D111" s="1808"/>
      <c r="E111" s="716" t="str">
        <f>FHD_NUM_P_71</f>
        <v/>
      </c>
      <c r="F111" s="2050" t="str">
        <f>FHD_P_71</f>
        <v/>
      </c>
      <c r="G111" s="2047" t="s">
        <v>601</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12</v>
      </c>
      <c r="F112" s="2050" t="str">
        <f>FHD_P_72</f>
        <v>Среднесписочная численность основного производственного персонала</v>
      </c>
      <c r="G112" s="2046" t="s">
        <v>602</v>
      </c>
      <c r="H112" s="747"/>
      <c r="I112" s="747"/>
      <c r="J112" s="459" t="str">
        <f>FHD_NOTE_P_72</f>
        <v/>
      </c>
      <c r="K112" s="713"/>
      <c r="AF112" s="1801">
        <v>19</v>
      </c>
    </row>
    <row customHeight="1" ht="18.75" hidden="1">
      <c r="A113" s="1159" t="s">
        <v>603</v>
      </c>
      <c r="D113" s="1808"/>
      <c r="E113" s="716" t="str">
        <f>FHD_NUM_P_73</f>
        <v/>
      </c>
      <c r="F113" s="2050" t="str">
        <f>FHD_P_73</f>
        <v/>
      </c>
      <c r="G113" s="1140" t="s">
        <v>602</v>
      </c>
      <c r="H113" s="1138"/>
      <c r="I113" s="1138"/>
      <c r="J113" s="459" t="str">
        <f>FHD_NOTE_P_73</f>
        <v/>
      </c>
      <c r="K113" s="713"/>
      <c r="AF113" s="1801">
        <v>0</v>
      </c>
    </row>
    <row customHeight="1" ht="33.75">
      <c r="A114" s="1159" t="s">
        <v>604</v>
      </c>
      <c r="D114" s="1808"/>
      <c r="E114" s="716" t="str">
        <f>FHD_NUM_P_74</f>
        <v>13</v>
      </c>
      <c r="F114" s="2050" t="str">
        <f>FHD_P_74</f>
        <v>Удельный расход электрической энергии на подачу воды в сеть</v>
      </c>
      <c r="G114" s="2046" t="s">
        <v>605</v>
      </c>
      <c r="H114" s="747"/>
      <c r="I114" s="747"/>
      <c r="J114" s="459" t="str">
        <f>FHD_NOTE_P_74</f>
        <v/>
      </c>
      <c r="K114" s="713"/>
      <c r="AF114" s="1801">
        <v>0</v>
      </c>
    </row>
    <row s="9589" customFormat="1" customHeight="1" ht="18.75">
      <c r="A115" s="2543" t="s">
        <v>606</v>
      </c>
      <c r="B115" s="1080"/>
      <c r="C115" s="905"/>
      <c r="D115" s="903"/>
      <c r="E115" s="716" t="str">
        <f>FHD_NUM_P_75</f>
        <v>14</v>
      </c>
      <c r="F115" s="2050" t="str">
        <f>FHD_P_75</f>
        <v>Расход воды на собственные нужды, в том числе:</v>
      </c>
      <c r="G115" s="2046" t="s">
        <v>570</v>
      </c>
      <c r="H115" s="727"/>
      <c r="I115" s="727"/>
      <c r="J115" s="459" t="str">
        <f>FHD_NOTE_P_75</f>
        <v>Указывается доля общего расхода воды на собственные нужны от объема отпуска воды потребителям.</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9589" customFormat="1" customHeight="1" ht="18.75">
      <c r="A116" s="2543"/>
      <c r="B116" s="1080"/>
      <c r="C116" s="905"/>
      <c r="D116" s="903"/>
      <c r="E116" s="716" t="str">
        <f>FHD_NUM_P_76</f>
        <v>14.1</v>
      </c>
      <c r="F116" s="2050" t="str">
        <f>FHD_P_76</f>
        <v>Расход воды на хозяйственно-бытовые нужды</v>
      </c>
      <c r="G116" s="2046" t="s">
        <v>570</v>
      </c>
      <c r="H116" s="727"/>
      <c r="I116" s="727"/>
      <c r="J116" s="459" t="str">
        <f>FHD_NOTE_P_76</f>
        <v>Указывается доля расхода воды на хозяйственно-бытовые нужны от объема отпуска воды потребителям.</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9589" customFormat="1" customHeight="1" ht="18.75">
      <c r="A117" s="2543"/>
      <c r="B117" s="1080"/>
      <c r="C117" s="905"/>
      <c r="D117" s="903"/>
      <c r="E117" s="716" t="str">
        <f>FHD_NUM_P_77</f>
        <v>15</v>
      </c>
      <c r="F117" s="2050" t="str">
        <f>FHD_P_77</f>
        <v>Показатель использования производственных объектов (по объему перекачки), в том числе:</v>
      </c>
      <c r="G117" s="2046" t="s">
        <v>570</v>
      </c>
      <c r="H117" s="727"/>
      <c r="I117" s="727"/>
      <c r="J117" s="45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9667" customFormat="1" customHeight="1" ht="0.75">
      <c r="A118" s="2543"/>
      <c r="D118" s="718"/>
      <c r="E118" s="1183" t="str">
        <f>E117&amp;".0"</f>
        <v>15.0</v>
      </c>
      <c r="F118" s="1167"/>
      <c r="G118" s="1821"/>
      <c r="H118" s="1162"/>
      <c r="I118" s="1162"/>
      <c r="J118" s="1166"/>
      <c r="AF118" s="1806">
        <v>0</v>
      </c>
    </row>
    <row s="9589" customFormat="1" customHeight="1" ht="15">
      <c r="A119" s="2543"/>
      <c r="B119" s="1080"/>
      <c r="C119" s="905"/>
      <c r="D119" s="916"/>
      <c r="E119" s="1143"/>
      <c r="F119" s="1144" t="s">
        <v>607</v>
      </c>
      <c r="G119" s="917"/>
      <c r="H119" s="918"/>
      <c r="I119" s="918"/>
      <c r="J119" s="1173" t="s">
        <v>608</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609</v>
      </c>
      <c r="D120" s="1808"/>
      <c r="E120" s="716" t="str">
        <f>FHD_NUM_P_78</f>
        <v/>
      </c>
      <c r="F120" s="2050" t="str">
        <f>FHD_P_78</f>
        <v/>
      </c>
      <c r="G120" s="2047" t="s">
        <v>572</v>
      </c>
      <c r="H120" s="747"/>
      <c r="I120" s="747"/>
      <c r="J120" s="459" t="str">
        <f>FHD_NOTE_P_78</f>
        <v/>
      </c>
      <c r="K120" s="713"/>
      <c r="AF120" s="1801">
        <v>0</v>
      </c>
    </row>
    <row s="9667"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598</v>
      </c>
      <c r="G122" s="742"/>
      <c r="H122" s="743"/>
      <c r="I122" s="743"/>
      <c r="J122" s="1174" t="s">
        <v>610</v>
      </c>
      <c r="K122" s="713"/>
      <c r="AF122" s="1801">
        <v>0</v>
      </c>
    </row>
    <row customHeight="1" ht="22.5" hidden="1">
      <c r="A123" s="2541"/>
      <c r="D123" s="1808"/>
      <c r="E123" s="716" t="str">
        <f>FHD_NUM_P_79</f>
        <v/>
      </c>
      <c r="F123" s="2050" t="str">
        <f>FHD_P_79</f>
        <v/>
      </c>
      <c r="G123" s="2048" t="s">
        <v>574</v>
      </c>
      <c r="H123" s="747"/>
      <c r="I123" s="747"/>
      <c r="J123" s="459" t="str">
        <f>FHD_NOTE_P_79</f>
        <v/>
      </c>
      <c r="K123" s="713"/>
      <c r="AF123" s="1801">
        <v>0</v>
      </c>
    </row>
    <row s="9667"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598</v>
      </c>
      <c r="G125" s="742"/>
      <c r="H125" s="743"/>
      <c r="I125" s="743"/>
      <c r="J125" s="1174" t="s">
        <v>611</v>
      </c>
      <c r="K125" s="713"/>
      <c r="AF125" s="1801">
        <v>0</v>
      </c>
    </row>
    <row customHeight="1" ht="22.5" hidden="1">
      <c r="A126" s="2541"/>
      <c r="D126" s="1808"/>
      <c r="E126" s="716" t="str">
        <f>FHD_NUM_P_80</f>
        <v/>
      </c>
      <c r="F126" s="2050" t="str">
        <f>FHD_P_80</f>
        <v/>
      </c>
      <c r="G126" s="2048" t="s">
        <v>612</v>
      </c>
      <c r="H126" s="727"/>
      <c r="I126" s="727"/>
      <c r="J126" s="459" t="str">
        <f>FHD_NOTE_P_80</f>
        <v/>
      </c>
      <c r="K126" s="713"/>
      <c r="AF126" s="1801">
        <v>0</v>
      </c>
    </row>
    <row customHeight="1" ht="18.75" hidden="1">
      <c r="A127" s="2541"/>
      <c r="D127" s="1808"/>
      <c r="E127" s="716" t="str">
        <f>FHD_NUM_P_81</f>
        <v/>
      </c>
      <c r="F127" s="2050" t="str">
        <f>FHD_P_81</f>
        <v/>
      </c>
      <c r="G127" s="2048" t="s">
        <v>613</v>
      </c>
      <c r="H127" s="727"/>
      <c r="I127" s="727"/>
      <c r="J127" s="459" t="str">
        <f>FHD_NOTE_P_81</f>
        <v/>
      </c>
      <c r="K127" s="713"/>
      <c r="AF127" s="1801">
        <v>0</v>
      </c>
    </row>
    <row customHeight="1" ht="18.75" hidden="1">
      <c r="A128" s="2541"/>
      <c r="C128" s="1806" t="s">
        <v>600</v>
      </c>
      <c r="D128" s="1808"/>
      <c r="E128" s="716" t="str">
        <f>FHD_NUM_P_82</f>
        <v/>
      </c>
      <c r="F128" s="2050" t="str">
        <f>FHD_P_82</f>
        <v/>
      </c>
      <c r="G128" s="2048" t="s">
        <v>309</v>
      </c>
      <c r="H128" s="571"/>
      <c r="I128" s="571"/>
      <c r="J128" s="459" t="str">
        <f>FHD_NOTE_P_82</f>
        <v/>
      </c>
      <c r="K128" s="713"/>
      <c r="AF128" s="1801">
        <v>0</v>
      </c>
    </row>
    <row customHeight="1" ht="18.75" hidden="1">
      <c r="A129" s="2541"/>
      <c r="C129" s="1806" t="s">
        <v>600</v>
      </c>
      <c r="D129" s="1808"/>
      <c r="E129" s="716" t="str">
        <f>FHD_NUM_P_83</f>
        <v/>
      </c>
      <c r="F129" s="1694" t="str">
        <f>FHD_P_83</f>
        <v/>
      </c>
      <c r="G129" s="2048" t="s">
        <v>309</v>
      </c>
      <c r="H129" s="571"/>
      <c r="I129" s="571"/>
      <c r="J129" s="459" t="str">
        <f>FHD_NOTE_P_83</f>
        <v/>
      </c>
      <c r="K129" s="713"/>
      <c r="AF129" s="1801">
        <v>0</v>
      </c>
    </row>
    <row customHeight="1" ht="18.75" hidden="1">
      <c r="A130" s="2541"/>
      <c r="C130" s="1806" t="s">
        <v>600</v>
      </c>
      <c r="D130" s="1808"/>
      <c r="E130" s="716" t="str">
        <f>FHD_NUM_P_84</f>
        <v/>
      </c>
      <c r="F130" s="1694" t="str">
        <f>FHD_P_84</f>
        <v/>
      </c>
      <c r="G130" s="2048" t="s">
        <v>309</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10287"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028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028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0287"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028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028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028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028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028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028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028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028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028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028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028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028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028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028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028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028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028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028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028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028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028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028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028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028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028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028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028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028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028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028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028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028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028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028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028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028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028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028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028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028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028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028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028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028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028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028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028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028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028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028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028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028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028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028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028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028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028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028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028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10287"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10287"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10287"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10287"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10287"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10287"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10287"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10287"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10287"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10287"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10287"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10287"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10287"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10287"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10287"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10287"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10287"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10287"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10287"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10287"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10287"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10287"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10287"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10287"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10287"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10287"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10287"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10287"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10287"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10287"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10287"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10287"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10287"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10287"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10287"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10287"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10287"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10287"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10287"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10287"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10287"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10287"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10287"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10287"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10287"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10287"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10287"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10287"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10287"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10287"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10287"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10287"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10287"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10287"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10287"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10287"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10287"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10287"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10287"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10287"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10287"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10287"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10287"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10287"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10287"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10287"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10287"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10287"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10287"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10287"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10287"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10287"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10287"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10287"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10287"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10287"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10287"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10287"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10287"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10287"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10287"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10287"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10287"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10287"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10287"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10287"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10287"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10287"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10287"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10287"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10287"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10287"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10287"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81</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E398C-9F92-858A-6105-09DB3062331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243" width="14.7109375" hidden="1" customWidth="1"/>
    <col min="2" max="2" style="9553" width="17.00390625" hidden="1" customWidth="1"/>
    <col min="3" max="3" style="9589" width="3.00390625" customWidth="1"/>
    <col min="4" max="4" style="9589" width="1.8515625" hidden="1" customWidth="1"/>
    <col min="5" max="6" style="9589" width="7.00390625" customWidth="1"/>
    <col min="7" max="7" style="9589" width="29.00390625" customWidth="1"/>
    <col min="8" max="8" style="9589" width="3.7109375" customWidth="1"/>
    <col min="9" max="9" style="9589" width="5.00390625" customWidth="1"/>
    <col min="10" max="11" style="9589" width="24.00390625" customWidth="1"/>
    <col min="12" max="12" style="9589" width="3.00390625" customWidth="1"/>
    <col min="13" max="13" style="9589" width="6.00390625" customWidth="1"/>
    <col min="14" max="14" style="9589" width="25.00390625" customWidth="1"/>
    <col min="15" max="18" style="9589" width="18.00390625" customWidth="1"/>
    <col min="19" max="19" style="9589" width="93.00390625" customWidth="1"/>
    <col min="20" max="20" style="9589" width="10.00390625" customWidth="1"/>
    <col min="21" max="21" style="9667" width="10.00390625" customWidth="1"/>
    <col min="22" max="22" style="9667" width="11.00390625" customWidth="1"/>
    <col min="23" max="27" style="9553" width="10.00390625" customWidth="1"/>
    <col min="28" max="83" style="9589" width="8.00390625" customWidth="1"/>
    <col min="84" max="84" style="9589"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9589" customFormat="1" customHeight="1" ht="16.8">
      <c r="A6" s="780"/>
      <c r="B6" s="929"/>
      <c r="C6" s="679"/>
      <c r="D6" s="1228"/>
      <c r="E6" s="2346" t="str">
        <f>IF(org=0,"Не определено",org)</f>
        <v>МУП "Водоканал"</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10287"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303</v>
      </c>
      <c r="F9" s="2272"/>
      <c r="G9" s="2272"/>
      <c r="H9" s="2272"/>
      <c r="I9" s="2272"/>
      <c r="J9" s="2272"/>
      <c r="K9" s="2272"/>
      <c r="L9" s="2272"/>
      <c r="M9" s="2272"/>
      <c r="N9" s="2272"/>
      <c r="O9" s="2272"/>
      <c r="P9" s="2272"/>
      <c r="Q9" s="2272"/>
      <c r="R9" s="2273"/>
      <c r="S9" s="2297" t="s">
        <v>304</v>
      </c>
      <c r="T9" s="504"/>
      <c r="CF9" s="675">
        <v>19</v>
      </c>
    </row>
    <row customHeight="1" ht="48.29999999999999">
      <c r="D10" s="721" t="s">
        <v>87</v>
      </c>
      <c r="E10" s="2297" t="s">
        <v>87</v>
      </c>
      <c r="F10" s="2297"/>
      <c r="G10" s="691" t="s">
        <v>305</v>
      </c>
      <c r="H10" s="2297" t="s">
        <v>87</v>
      </c>
      <c r="I10" s="2297"/>
      <c r="J10" s="691" t="s">
        <v>614</v>
      </c>
      <c r="K10" s="691" t="s">
        <v>615</v>
      </c>
      <c r="L10" s="2297" t="s">
        <v>87</v>
      </c>
      <c r="M10" s="2297"/>
      <c r="N10" s="691" t="s">
        <v>616</v>
      </c>
      <c r="O10" s="691" t="s">
        <v>617</v>
      </c>
      <c r="P10" s="691" t="s">
        <v>618</v>
      </c>
      <c r="Q10" s="691" t="s">
        <v>619</v>
      </c>
      <c r="R10" s="691" t="s">
        <v>620</v>
      </c>
      <c r="S10" s="2297"/>
      <c r="T10" s="504"/>
      <c r="CF10" s="675">
        <v>46</v>
      </c>
    </row>
    <row s="9667" customFormat="1" customHeight="1" ht="15" hidden="1">
      <c r="A11" s="1222"/>
      <c r="D11" s="1195" t="s">
        <v>108</v>
      </c>
      <c r="E11" s="1195"/>
      <c r="F11" s="1195" t="s">
        <v>109</v>
      </c>
      <c r="G11" s="1195" t="s">
        <v>89</v>
      </c>
      <c r="H11" s="1195"/>
      <c r="I11" s="1195" t="s">
        <v>90</v>
      </c>
      <c r="J11" s="1195" t="s">
        <v>110</v>
      </c>
      <c r="K11" s="1195" t="s">
        <v>91</v>
      </c>
      <c r="L11" s="1195"/>
      <c r="M11" s="1195" t="s">
        <v>92</v>
      </c>
      <c r="N11" s="1195" t="s">
        <v>111</v>
      </c>
      <c r="O11" s="1195" t="s">
        <v>147</v>
      </c>
      <c r="P11" s="1195" t="s">
        <v>148</v>
      </c>
      <c r="Q11" s="1195" t="s">
        <v>149</v>
      </c>
      <c r="R11" s="1195" t="s">
        <v>150</v>
      </c>
      <c r="S11" s="1195" t="s">
        <v>151</v>
      </c>
      <c r="U11" s="781"/>
      <c r="V11" s="781"/>
      <c r="W11" s="781"/>
      <c r="CF11" s="681">
        <v>0</v>
      </c>
    </row>
    <row s="9589" customFormat="1" customHeight="1" ht="1.05">
      <c r="A12" s="785"/>
      <c r="B12" s="532"/>
      <c r="D12" s="718"/>
      <c r="E12" s="516"/>
      <c r="F12" s="516"/>
      <c r="Q12" s="786"/>
      <c r="R12" s="787"/>
      <c r="T12" s="788"/>
      <c r="U12" s="789"/>
      <c r="V12" s="789"/>
      <c r="W12" s="790"/>
      <c r="X12" s="532"/>
      <c r="Y12" s="532"/>
      <c r="Z12" s="532"/>
      <c r="AA12" s="532"/>
      <c r="CF12" s="679">
        <v>1</v>
      </c>
    </row>
    <row s="10287" customFormat="1" customHeight="1" ht="1.05">
      <c r="A13" s="791"/>
      <c r="B13" s="736"/>
      <c r="D13" s="718" t="s">
        <v>379</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9727" customFormat="1" customHeight="1" ht="15" hidden="1">
      <c r="A14" s="793" t="s">
        <v>116</v>
      </c>
      <c r="B14" s="794"/>
      <c r="C14" s="794"/>
      <c r="D14" s="2550" t="s">
        <v>108</v>
      </c>
      <c r="E14" s="2547" t="s">
        <v>104</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621</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9727" customFormat="1" customHeight="1" ht="15" hidden="1">
      <c r="A15" s="793"/>
      <c r="B15" s="794"/>
      <c r="C15" s="794"/>
      <c r="D15" s="2551"/>
      <c r="E15" s="2547" t="s">
        <v>576</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9727" customFormat="1" customHeight="1" ht="15" hidden="1">
      <c r="A16" s="793"/>
      <c r="B16" s="794"/>
      <c r="C16" s="794"/>
      <c r="D16" s="2551"/>
      <c r="E16" s="2547" t="s">
        <v>577</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9727" customFormat="1" customHeight="1" ht="22.5" hidden="1">
      <c r="A17" s="803"/>
      <c r="B17" s="587"/>
      <c r="C17" s="582"/>
      <c r="D17" s="2551"/>
      <c r="E17" s="2546" t="s">
        <v>622</v>
      </c>
      <c r="F17" s="2546"/>
      <c r="G17" s="2546"/>
      <c r="H17" s="2546"/>
      <c r="I17" s="2546"/>
      <c r="J17" s="2546"/>
      <c r="K17" s="2546"/>
      <c r="L17" s="2546"/>
      <c r="M17" s="2546"/>
      <c r="N17" s="2546"/>
      <c r="O17" s="2546"/>
      <c r="P17" s="2546"/>
      <c r="Q17" s="728">
        <f>SUMIF(T18:T19,"i",Q18:Q19)</f>
        <v>0</v>
      </c>
      <c r="R17" s="1187"/>
      <c r="S17" s="1067" t="s">
        <v>623</v>
      </c>
      <c r="T17" s="887" t="s">
        <v>624</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9727"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9727"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9727" customFormat="1" customHeight="1" ht="22.5" hidden="1">
      <c r="A20" s="803"/>
      <c r="B20" s="587"/>
      <c r="C20" s="582"/>
      <c r="D20" s="2551"/>
      <c r="E20" s="2546" t="s">
        <v>625</v>
      </c>
      <c r="F20" s="2546"/>
      <c r="G20" s="2546"/>
      <c r="H20" s="2546"/>
      <c r="I20" s="2546"/>
      <c r="J20" s="2546"/>
      <c r="K20" s="2546"/>
      <c r="L20" s="2546"/>
      <c r="M20" s="2546"/>
      <c r="N20" s="2546"/>
      <c r="O20" s="2546"/>
      <c r="P20" s="2546"/>
      <c r="Q20" s="728">
        <f>SUMIF(T21:T22,"i",Q21:Q22)</f>
        <v>0</v>
      </c>
      <c r="R20" s="1187"/>
      <c r="S20" s="879" t="s">
        <v>626</v>
      </c>
      <c r="T20" s="887" t="s">
        <v>624</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9727"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9727"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81</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D0277-AD63-06C8-7F25-D8B185D284C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175" width="10.7109375" hidden="1" customWidth="1"/>
    <col min="6" max="6" style="9666" width="16.8515625" hidden="1" customWidth="1"/>
    <col min="7" max="7" style="9667" width="5.57421875" hidden="1" customWidth="1"/>
    <col min="8" max="8" style="9589" width="3.00390625" customWidth="1"/>
    <col min="9" max="9" style="9589" width="7.00390625" customWidth="1"/>
    <col min="10" max="10" style="9589" width="56.00390625" customWidth="1"/>
    <col min="11" max="11" style="9589" width="10.00390625" customWidth="1"/>
    <col min="12" max="12" style="9589" width="40.57421875" hidden="1" customWidth="1"/>
    <col min="13" max="13" style="9589" width="40.7109375" customWidth="1"/>
    <col min="14" max="14" style="9666" width="9.7109375" hidden="1" customWidth="1"/>
    <col min="15" max="15" style="9589" width="102.00390625" customWidth="1"/>
    <col min="16" max="16" style="9666" width="9.00390625" customWidth="1"/>
    <col min="17" max="17" style="9667" width="5.00390625" customWidth="1"/>
    <col min="18" max="18" style="9667" width="3.00390625" customWidth="1"/>
    <col min="19" max="22" style="9666" width="3.00390625" customWidth="1"/>
    <col min="23" max="23" style="9667" width="10.00390625" customWidth="1"/>
    <col min="24" max="24" style="9666" width="34.00390625" customWidth="1"/>
    <col min="25" max="25" style="9666" width="9.00390625" customWidth="1"/>
    <col min="26" max="26" style="12176" width="8.00390625" customWidth="1"/>
    <col min="27" max="31" style="9666" width="8.00390625" customWidth="1"/>
    <col min="32" max="36" style="9553" width="8.00390625" customWidth="1"/>
    <col min="37" max="37" style="9589" width="5.421875" hidden="1" customWidth="1"/>
  </cols>
  <sheetData>
    <row s="9666" customFormat="1" customHeight="1" ht="33.75" hidden="1">
      <c r="A1" s="1157"/>
      <c r="B1" s="1157"/>
      <c r="C1" s="1157"/>
      <c r="D1" s="1157"/>
      <c r="E1" s="1157"/>
      <c r="G1" s="1806"/>
      <c r="H1" s="1048"/>
      <c r="L1" s="1536">
        <v>4</v>
      </c>
      <c r="M1" s="1536">
        <v>4</v>
      </c>
      <c r="Q1" s="1806"/>
      <c r="R1" s="1806"/>
      <c r="W1" s="1806"/>
      <c r="AK1" s="1536" t="s">
        <v>14</v>
      </c>
    </row>
    <row s="9666" customFormat="1" customHeight="1" ht="78.75" hidden="1">
      <c r="A2" s="1157"/>
      <c r="B2" s="2223" t="s">
        <v>627</v>
      </c>
      <c r="C2" s="2223" t="s">
        <v>628</v>
      </c>
      <c r="D2" s="2222" t="s">
        <v>629</v>
      </c>
      <c r="E2" s="2226">
        <f>RIGHT(I2,LEN(I2)-SEARCH("#",SUBSTITUTE(I2,".","#",LEN(I2)-LEN(SUBSTITUTE(I2,".","")))))</f>
      </c>
      <c r="F2" s="2228">
        <f>J2</f>
        <v>0</v>
      </c>
      <c r="G2" s="1806"/>
      <c r="H2" s="2229"/>
      <c r="I2" s="2219"/>
      <c r="J2" s="710"/>
      <c r="K2" s="2189" t="s">
        <v>568</v>
      </c>
      <c r="L2" s="921"/>
      <c r="M2" s="921"/>
      <c r="N2" s="713"/>
      <c r="O2" s="1695" t="s">
        <v>569</v>
      </c>
      <c r="P2" s="713"/>
      <c r="Q2" s="1806"/>
      <c r="R2" s="1806"/>
      <c r="W2" s="1806"/>
      <c r="Z2" s="714"/>
      <c r="AF2" s="1802"/>
      <c r="AG2" s="1802"/>
      <c r="AH2" s="1802"/>
      <c r="AI2" s="1802"/>
      <c r="AJ2" s="1802"/>
      <c r="AK2" s="1536">
        <v>0</v>
      </c>
    </row>
    <row customHeight="1" ht="11.25" hidden="1">
      <c r="E3" s="2221" t="s">
        <v>630</v>
      </c>
      <c r="L3" s="1801">
        <f>0</f>
        <v>0</v>
      </c>
      <c r="M3" s="1801">
        <v>1</v>
      </c>
      <c r="AK3" s="1801">
        <v>0</v>
      </c>
    </row>
    <row s="9553"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631</v>
      </c>
      <c r="J6" s="2477"/>
      <c r="K6" s="2477"/>
      <c r="L6" s="2477"/>
      <c r="M6" s="2477"/>
      <c r="O6" s="726"/>
      <c r="AK6" s="1801">
        <v>55</v>
      </c>
    </row>
    <row customHeight="1" ht="25.2">
      <c r="I7" s="2419" t="str">
        <f>IF(org=0,"Не определено",org)</f>
        <v>МУП "Водоканал"</v>
      </c>
      <c r="J7" s="2419"/>
      <c r="K7" s="2419"/>
      <c r="L7" s="2419"/>
      <c r="M7" s="2419"/>
      <c r="AK7" s="1801">
        <v>24</v>
      </c>
    </row>
    <row customHeight="1" ht="11.549999999999999">
      <c r="I8" s="1305"/>
      <c r="J8" s="1305"/>
      <c r="K8" s="1305"/>
      <c r="L8" s="1305"/>
      <c r="M8" s="1305"/>
      <c r="AK8" s="1801">
        <v>11</v>
      </c>
    </row>
    <row s="9667" customFormat="1" customHeight="1" ht="30" hidden="1">
      <c r="A9" s="1337"/>
      <c r="B9" s="1337"/>
      <c r="C9" s="1337"/>
      <c r="E9" s="1337"/>
      <c r="H9" s="1812"/>
      <c r="L9" s="1059"/>
      <c r="M9" s="1059" t="s">
        <v>116</v>
      </c>
      <c r="AK9" s="1806">
        <v>1</v>
      </c>
    </row>
    <row customHeight="1" ht="11.549999999999999">
      <c r="E10" s="2220" t="s">
        <v>632</v>
      </c>
      <c r="I10" s="881"/>
      <c r="J10" s="2537" t="s">
        <v>104</v>
      </c>
      <c r="K10" s="2538"/>
      <c r="L10" s="2199" t="str">
        <f>IF(L9="","",INDEX(DIFFERENTIATION_UNMERGE_VD,MATCH(L9,DIFFERENTIATION_ID_DIFF,0)))</f>
        <v/>
      </c>
      <c r="M10" s="2199">
        <f>IF(M9="","",INDEX(DIFFERENTIATION_UNMERGE_VD,MATCH(M9,DIFFERENTIATION_ID_DIFF,0)))</f>
        <v>0</v>
      </c>
      <c r="O10" s="2297" t="s">
        <v>304</v>
      </c>
      <c r="AK10" s="1801">
        <v>11</v>
      </c>
    </row>
    <row customHeight="1" ht="11.549999999999999">
      <c r="E11" s="2220" t="s">
        <v>633</v>
      </c>
      <c r="I11" s="881"/>
      <c r="J11" s="2537" t="s">
        <v>576</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634</v>
      </c>
      <c r="I12" s="1832"/>
      <c r="J12" s="2537" t="s">
        <v>577</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635</v>
      </c>
      <c r="F13" s="2220" t="s">
        <v>636</v>
      </c>
      <c r="I13" s="2539" t="s">
        <v>303</v>
      </c>
      <c r="J13" s="2540"/>
      <c r="K13" s="2540"/>
      <c r="L13" s="2197"/>
      <c r="M13" s="2237"/>
      <c r="O13" s="2297"/>
      <c r="AK13" s="1801">
        <v>11</v>
      </c>
    </row>
    <row customHeight="1" ht="24">
      <c r="I14" s="2190" t="s">
        <v>87</v>
      </c>
      <c r="J14" s="2190" t="s">
        <v>305</v>
      </c>
      <c r="K14" s="2190" t="s">
        <v>578</v>
      </c>
      <c r="L14" s="2230" t="s">
        <v>306</v>
      </c>
      <c r="M14" s="2231" t="s">
        <v>306</v>
      </c>
      <c r="O14" s="2297"/>
      <c r="AK14" s="1801">
        <v>23</v>
      </c>
    </row>
    <row customHeight="1" ht="24">
      <c r="A15" s="2224"/>
      <c r="B15" s="2223" t="s">
        <v>637</v>
      </c>
      <c r="C15" s="2223" t="s">
        <v>638</v>
      </c>
      <c r="D15" s="2222" t="s">
        <v>639</v>
      </c>
      <c r="E15" s="2226" t="s">
        <v>640</v>
      </c>
      <c r="F15" s="2226" t="s">
        <v>640</v>
      </c>
      <c r="G15" s="1806" t="s">
        <v>600</v>
      </c>
      <c r="H15" s="2191"/>
      <c r="I15" s="1800">
        <v>1</v>
      </c>
      <c r="J15" s="2192" t="s">
        <v>641</v>
      </c>
      <c r="K15" s="2190" t="s">
        <v>309</v>
      </c>
      <c r="L15" s="832"/>
      <c r="M15" s="988"/>
      <c r="N15" s="713" t="s">
        <v>642</v>
      </c>
      <c r="O15" s="1695" t="s">
        <v>643</v>
      </c>
      <c r="P15" s="713" t="s">
        <v>642</v>
      </c>
      <c r="AK15" s="1801">
        <v>23</v>
      </c>
    </row>
    <row customHeight="1" ht="35.699999999999996">
      <c r="A16" s="2224"/>
      <c r="B16" s="2223" t="s">
        <v>644</v>
      </c>
      <c r="C16" s="2223" t="s">
        <v>645</v>
      </c>
      <c r="D16" s="2222" t="s">
        <v>629</v>
      </c>
      <c r="E16" s="2226" t="s">
        <v>640</v>
      </c>
      <c r="F16" s="2226" t="s">
        <v>640</v>
      </c>
      <c r="H16" s="2191"/>
      <c r="I16" s="1799">
        <v>2</v>
      </c>
      <c r="J16" s="2233" t="s">
        <v>646</v>
      </c>
      <c r="K16" s="2232" t="s">
        <v>568</v>
      </c>
      <c r="L16" s="2238"/>
      <c r="M16" s="1846"/>
      <c r="N16" s="713" t="s">
        <v>642</v>
      </c>
      <c r="O16" s="1695" t="s">
        <v>647</v>
      </c>
      <c r="P16" s="713" t="s">
        <v>642</v>
      </c>
      <c r="AK16" s="1801">
        <v>34</v>
      </c>
    </row>
    <row s="9667" customFormat="1" customHeight="1" ht="17.25" hidden="1">
      <c r="A17" s="1337"/>
      <c r="B17" s="1337"/>
      <c r="C17" s="1337"/>
      <c r="D17" s="1337"/>
      <c r="E17" s="1337"/>
      <c r="H17" s="1494"/>
      <c r="I17" s="1183" t="s">
        <v>648</v>
      </c>
      <c r="J17" s="1161"/>
      <c r="K17" s="1183"/>
      <c r="L17" s="1162"/>
      <c r="M17" s="1162"/>
      <c r="O17" s="1555"/>
      <c r="AK17" s="1806">
        <v>1</v>
      </c>
    </row>
    <row s="9666" customFormat="1" customHeight="1" ht="24">
      <c r="A18" s="1157"/>
      <c r="B18" s="1157"/>
      <c r="C18" s="1157"/>
      <c r="D18" s="1157"/>
      <c r="E18" s="1157"/>
      <c r="G18" s="1806"/>
      <c r="H18" s="1803"/>
      <c r="I18" s="740"/>
      <c r="J18" s="741" t="s">
        <v>598</v>
      </c>
      <c r="K18" s="742"/>
      <c r="L18" s="2240"/>
      <c r="M18" s="743"/>
      <c r="N18" s="713"/>
      <c r="O18" s="1695" t="s">
        <v>599</v>
      </c>
      <c r="P18" s="713"/>
      <c r="Q18" s="1806"/>
      <c r="R18" s="1806"/>
      <c r="W18" s="1806"/>
      <c r="Z18" s="714"/>
      <c r="AF18" s="1802"/>
      <c r="AG18" s="1802"/>
      <c r="AH18" s="1802"/>
      <c r="AI18" s="1802"/>
      <c r="AJ18" s="1802"/>
      <c r="AK18" s="1536">
        <v>23</v>
      </c>
    </row>
    <row customHeight="1" ht="19.95">
      <c r="A19" s="2224"/>
      <c r="B19" s="2223" t="s">
        <v>649</v>
      </c>
      <c r="C19" s="2223" t="s">
        <v>650</v>
      </c>
      <c r="D19" s="2222" t="s">
        <v>629</v>
      </c>
      <c r="E19" s="2226" t="s">
        <v>640</v>
      </c>
      <c r="F19" s="2226" t="s">
        <v>640</v>
      </c>
      <c r="H19" s="2191"/>
      <c r="I19" s="1834">
        <v>3</v>
      </c>
      <c r="J19" s="2192" t="s">
        <v>650</v>
      </c>
      <c r="K19" s="2188" t="s">
        <v>568</v>
      </c>
      <c r="L19" s="897"/>
      <c r="M19" s="727"/>
      <c r="N19" s="713"/>
      <c r="O19" s="1695" t="s">
        <v>651</v>
      </c>
      <c r="P19" s="713"/>
      <c r="AK19" s="1801">
        <v>19</v>
      </c>
    </row>
    <row customHeight="1" ht="77.7">
      <c r="A20" s="2224"/>
      <c r="B20" s="2223" t="s">
        <v>652</v>
      </c>
      <c r="C20" s="2223" t="s">
        <v>653</v>
      </c>
      <c r="D20" s="2222" t="s">
        <v>629</v>
      </c>
      <c r="E20" s="2226" t="s">
        <v>640</v>
      </c>
      <c r="F20" s="2226" t="s">
        <v>640</v>
      </c>
      <c r="H20" s="2191"/>
      <c r="I20" s="1834">
        <v>4</v>
      </c>
      <c r="J20" s="2192" t="s">
        <v>654</v>
      </c>
      <c r="K20" s="2188" t="s">
        <v>595</v>
      </c>
      <c r="L20" s="897"/>
      <c r="M20" s="727"/>
      <c r="N20" s="713"/>
      <c r="O20" s="1695"/>
      <c r="P20" s="713"/>
      <c r="AK20" s="1801">
        <v>74</v>
      </c>
    </row>
    <row customHeight="1" ht="35.699999999999996">
      <c r="A21" s="2224"/>
      <c r="B21" s="2223" t="s">
        <v>655</v>
      </c>
      <c r="C21" s="2223" t="s">
        <v>656</v>
      </c>
      <c r="D21" s="2222" t="s">
        <v>629</v>
      </c>
      <c r="E21" s="2226" t="s">
        <v>640</v>
      </c>
      <c r="F21" s="2226" t="s">
        <v>640</v>
      </c>
      <c r="H21" s="2191"/>
      <c r="I21" s="1834">
        <v>5</v>
      </c>
      <c r="J21" s="2192" t="s">
        <v>657</v>
      </c>
      <c r="K21" s="2188" t="s">
        <v>595</v>
      </c>
      <c r="L21" s="897"/>
      <c r="M21" s="727"/>
      <c r="N21" s="713"/>
      <c r="O21" s="1695" t="s">
        <v>651</v>
      </c>
      <c r="P21" s="713"/>
      <c r="AK21" s="1801">
        <v>34</v>
      </c>
    </row>
    <row customHeight="1" ht="48.29999999999999">
      <c r="A22" s="2224"/>
      <c r="B22" s="2223" t="s">
        <v>658</v>
      </c>
      <c r="C22" s="2223" t="s">
        <v>659</v>
      </c>
      <c r="D22" s="2222" t="s">
        <v>629</v>
      </c>
      <c r="E22" s="2226" t="s">
        <v>640</v>
      </c>
      <c r="F22" s="2226" t="s">
        <v>640</v>
      </c>
      <c r="H22" s="2191"/>
      <c r="I22" s="1834">
        <v>6</v>
      </c>
      <c r="J22" s="2192" t="s">
        <v>660</v>
      </c>
      <c r="K22" s="2188" t="s">
        <v>595</v>
      </c>
      <c r="L22" s="897"/>
      <c r="M22" s="727"/>
      <c r="N22" s="713"/>
      <c r="O22" s="1695" t="s">
        <v>661</v>
      </c>
      <c r="P22" s="713"/>
      <c r="AK22" s="1801">
        <v>46</v>
      </c>
    </row>
    <row customHeight="1" ht="19.95">
      <c r="A23" s="2224"/>
      <c r="B23" s="2223" t="s">
        <v>662</v>
      </c>
      <c r="C23" s="2223" t="s">
        <v>663</v>
      </c>
      <c r="D23" s="2222" t="s">
        <v>629</v>
      </c>
      <c r="E23" s="2226" t="s">
        <v>640</v>
      </c>
      <c r="F23" s="2226" t="s">
        <v>640</v>
      </c>
      <c r="H23" s="2191"/>
      <c r="I23" s="1834" t="s">
        <v>664</v>
      </c>
      <c r="J23" s="1694" t="s">
        <v>665</v>
      </c>
      <c r="K23" s="2188" t="s">
        <v>595</v>
      </c>
      <c r="L23" s="897"/>
      <c r="M23" s="727"/>
      <c r="N23" s="713"/>
      <c r="O23" s="1695" t="s">
        <v>651</v>
      </c>
      <c r="P23" s="713"/>
      <c r="AK23" s="1801">
        <v>19</v>
      </c>
    </row>
    <row customHeight="1" ht="19.95">
      <c r="A24" s="2224"/>
      <c r="B24" s="2223" t="s">
        <v>666</v>
      </c>
      <c r="C24" s="2223" t="s">
        <v>667</v>
      </c>
      <c r="D24" s="2222" t="s">
        <v>629</v>
      </c>
      <c r="E24" s="2226" t="s">
        <v>640</v>
      </c>
      <c r="F24" s="2226" t="s">
        <v>640</v>
      </c>
      <c r="H24" s="2191"/>
      <c r="I24" s="1834" t="s">
        <v>668</v>
      </c>
      <c r="J24" s="1694" t="s">
        <v>669</v>
      </c>
      <c r="K24" s="2188" t="s">
        <v>595</v>
      </c>
      <c r="L24" s="897"/>
      <c r="M24" s="727"/>
      <c r="N24" s="713"/>
      <c r="O24" s="1695"/>
      <c r="P24" s="713"/>
      <c r="AK24" s="1801">
        <v>19</v>
      </c>
    </row>
    <row customHeight="1" ht="24">
      <c r="A25" s="2224"/>
      <c r="B25" s="2223" t="s">
        <v>670</v>
      </c>
      <c r="C25" s="2223" t="s">
        <v>671</v>
      </c>
      <c r="D25" s="2222" t="s">
        <v>629</v>
      </c>
      <c r="E25" s="2226" t="s">
        <v>640</v>
      </c>
      <c r="F25" s="2226" t="s">
        <v>640</v>
      </c>
      <c r="H25" s="2191"/>
      <c r="I25" s="1834" t="s">
        <v>672</v>
      </c>
      <c r="J25" s="1694" t="s">
        <v>673</v>
      </c>
      <c r="K25" s="2188" t="s">
        <v>595</v>
      </c>
      <c r="L25" s="897"/>
      <c r="M25" s="727"/>
      <c r="N25" s="713"/>
      <c r="O25" s="1695"/>
      <c r="P25" s="713"/>
      <c r="AK25" s="1801">
        <v>23</v>
      </c>
    </row>
    <row customHeight="1" ht="24">
      <c r="A26" s="2224"/>
      <c r="B26" s="2223" t="s">
        <v>674</v>
      </c>
      <c r="C26" s="2223" t="s">
        <v>675</v>
      </c>
      <c r="D26" s="2222" t="s">
        <v>629</v>
      </c>
      <c r="E26" s="2226" t="s">
        <v>640</v>
      </c>
      <c r="F26" s="2226" t="s">
        <v>640</v>
      </c>
      <c r="H26" s="2191"/>
      <c r="I26" s="1834">
        <v>7</v>
      </c>
      <c r="J26" s="2192" t="s">
        <v>675</v>
      </c>
      <c r="K26" s="2188" t="s">
        <v>676</v>
      </c>
      <c r="L26" s="897"/>
      <c r="M26" s="727"/>
      <c r="N26" s="713"/>
      <c r="O26" s="1695"/>
      <c r="P26" s="713"/>
      <c r="AK26" s="1801">
        <v>23</v>
      </c>
    </row>
    <row customHeight="1" ht="24">
      <c r="A27" s="2224"/>
      <c r="B27" s="2223" t="s">
        <v>677</v>
      </c>
      <c r="C27" s="2223" t="s">
        <v>678</v>
      </c>
      <c r="D27" s="2222" t="s">
        <v>629</v>
      </c>
      <c r="E27" s="2226" t="s">
        <v>640</v>
      </c>
      <c r="F27" s="2226" t="s">
        <v>640</v>
      </c>
      <c r="H27" s="2191"/>
      <c r="I27" s="1834">
        <v>8</v>
      </c>
      <c r="J27" s="2192" t="s">
        <v>678</v>
      </c>
      <c r="K27" s="2188" t="s">
        <v>601</v>
      </c>
      <c r="L27" s="897"/>
      <c r="M27" s="727"/>
      <c r="N27" s="713"/>
      <c r="O27" s="1695"/>
      <c r="P27" s="713"/>
      <c r="AK27" s="1801">
        <v>23</v>
      </c>
    </row>
    <row customHeight="1" ht="35.699999999999996">
      <c r="A28" s="2224"/>
      <c r="B28" s="2223" t="s">
        <v>679</v>
      </c>
      <c r="C28" s="2223" t="s">
        <v>680</v>
      </c>
      <c r="D28" s="2222" t="s">
        <v>629</v>
      </c>
      <c r="E28" s="2226" t="s">
        <v>640</v>
      </c>
      <c r="F28" s="2226" t="s">
        <v>640</v>
      </c>
      <c r="H28" s="2191"/>
      <c r="I28" s="1845">
        <v>9</v>
      </c>
      <c r="J28" s="2192" t="s">
        <v>681</v>
      </c>
      <c r="K28" s="2188" t="s">
        <v>572</v>
      </c>
      <c r="L28" s="897"/>
      <c r="M28" s="727"/>
      <c r="N28" s="713"/>
      <c r="O28" s="1695"/>
      <c r="P28" s="713"/>
      <c r="AK28" s="1801">
        <v>34</v>
      </c>
    </row>
    <row customHeight="1" ht="35.699999999999996">
      <c r="A29" s="2224"/>
      <c r="B29" s="2223" t="s">
        <v>682</v>
      </c>
      <c r="C29" s="2223" t="s">
        <v>683</v>
      </c>
      <c r="D29" s="2222" t="s">
        <v>629</v>
      </c>
      <c r="E29" s="2226" t="s">
        <v>640</v>
      </c>
      <c r="F29" s="2226" t="s">
        <v>640</v>
      </c>
      <c r="H29" s="2191"/>
      <c r="I29" s="1845">
        <v>10</v>
      </c>
      <c r="J29" s="2192" t="s">
        <v>684</v>
      </c>
      <c r="K29" s="2188" t="s">
        <v>572</v>
      </c>
      <c r="L29" s="897"/>
      <c r="M29" s="727"/>
      <c r="N29" s="713"/>
      <c r="O29" s="1695"/>
      <c r="P29" s="713"/>
      <c r="AK29" s="1801">
        <v>34</v>
      </c>
    </row>
    <row customHeight="1" ht="24">
      <c r="A30" s="2224"/>
      <c r="B30" s="2223" t="s">
        <v>685</v>
      </c>
      <c r="C30" s="2223" t="s">
        <v>686</v>
      </c>
      <c r="D30" s="2222" t="s">
        <v>629</v>
      </c>
      <c r="E30" s="2226" t="s">
        <v>640</v>
      </c>
      <c r="F30" s="2226" t="s">
        <v>640</v>
      </c>
      <c r="H30" s="2191"/>
      <c r="I30" s="1845">
        <v>11</v>
      </c>
      <c r="J30" s="2192" t="s">
        <v>686</v>
      </c>
      <c r="K30" s="2188" t="s">
        <v>602</v>
      </c>
      <c r="L30" s="2239"/>
      <c r="M30" s="1791"/>
      <c r="N30" s="713"/>
      <c r="O30" s="1695"/>
      <c r="P30" s="713"/>
      <c r="AK30" s="1801">
        <v>23</v>
      </c>
    </row>
    <row customHeight="1" ht="24">
      <c r="A31" s="2224"/>
      <c r="B31" s="2223" t="s">
        <v>687</v>
      </c>
      <c r="C31" s="2223" t="s">
        <v>688</v>
      </c>
      <c r="D31" s="2222" t="s">
        <v>629</v>
      </c>
      <c r="E31" s="2226" t="s">
        <v>640</v>
      </c>
      <c r="F31" s="2226" t="s">
        <v>640</v>
      </c>
      <c r="H31" s="2191"/>
      <c r="I31" s="1845">
        <v>12</v>
      </c>
      <c r="J31" s="2192" t="s">
        <v>688</v>
      </c>
      <c r="K31" s="2188" t="s">
        <v>602</v>
      </c>
      <c r="L31" s="2239"/>
      <c r="M31" s="1791"/>
      <c r="N31" s="713"/>
      <c r="O31" s="1695"/>
      <c r="P31" s="713"/>
      <c r="AK31" s="1801">
        <v>23</v>
      </c>
    </row>
    <row customHeight="1" ht="48.29999999999999">
      <c r="A32" s="2224"/>
      <c r="B32" s="2223" t="s">
        <v>689</v>
      </c>
      <c r="C32" s="2223" t="s">
        <v>690</v>
      </c>
      <c r="D32" s="2222" t="s">
        <v>629</v>
      </c>
      <c r="E32" s="2226" t="s">
        <v>640</v>
      </c>
      <c r="F32" s="2226" t="s">
        <v>640</v>
      </c>
      <c r="H32" s="2191"/>
      <c r="I32" s="1845">
        <v>13</v>
      </c>
      <c r="J32" s="2192" t="s">
        <v>691</v>
      </c>
      <c r="K32" s="2188" t="s">
        <v>612</v>
      </c>
      <c r="L32" s="897"/>
      <c r="M32" s="727"/>
      <c r="N32" s="713"/>
      <c r="O32" s="1695" t="s">
        <v>651</v>
      </c>
      <c r="P32" s="713"/>
      <c r="AK32" s="1801">
        <v>46</v>
      </c>
    </row>
    <row s="9666" customFormat="1" customHeight="1" ht="48.29999999999999">
      <c r="A33" s="2224"/>
      <c r="B33" s="2223" t="s">
        <v>692</v>
      </c>
      <c r="C33" s="2223" t="s">
        <v>693</v>
      </c>
      <c r="D33" s="2222" t="s">
        <v>629</v>
      </c>
      <c r="E33" s="2226" t="s">
        <v>640</v>
      </c>
      <c r="F33" s="2226" t="s">
        <v>640</v>
      </c>
      <c r="G33" s="1806"/>
      <c r="H33" s="2191"/>
      <c r="I33" s="1845">
        <v>14</v>
      </c>
      <c r="J33" s="2204" t="s">
        <v>694</v>
      </c>
      <c r="K33" s="2193" t="s">
        <v>695</v>
      </c>
      <c r="L33" s="897"/>
      <c r="M33" s="727"/>
      <c r="N33" s="713"/>
      <c r="O33" s="1695" t="s">
        <v>651</v>
      </c>
      <c r="P33" s="713"/>
      <c r="Q33" s="1806"/>
      <c r="R33" s="1806"/>
      <c r="W33" s="1806"/>
      <c r="Z33" s="714"/>
      <c r="AF33" s="1802"/>
      <c r="AG33" s="1802"/>
      <c r="AH33" s="1802"/>
      <c r="AI33" s="1802"/>
      <c r="AJ33" s="1802"/>
      <c r="AK33" s="1536">
        <v>46</v>
      </c>
    </row>
    <row customHeight="1" ht="108">
      <c r="A34" s="2224"/>
      <c r="B34" s="2223" t="s">
        <v>696</v>
      </c>
      <c r="C34" s="2223" t="s">
        <v>697</v>
      </c>
      <c r="D34" s="2222" t="s">
        <v>639</v>
      </c>
      <c r="E34" s="2226" t="s">
        <v>640</v>
      </c>
      <c r="F34" s="2226" t="s">
        <v>640</v>
      </c>
      <c r="G34" s="1806" t="s">
        <v>600</v>
      </c>
      <c r="H34" s="2191"/>
      <c r="I34" s="2202">
        <v>15</v>
      </c>
      <c r="J34" s="2203" t="s">
        <v>698</v>
      </c>
      <c r="K34" s="2188" t="s">
        <v>309</v>
      </c>
      <c r="L34" s="555"/>
      <c r="M34" s="1334"/>
      <c r="N34" s="713"/>
      <c r="O34" s="1695" t="s">
        <v>643</v>
      </c>
      <c r="P34" s="713"/>
      <c r="AK34" s="1801">
        <v>103</v>
      </c>
    </row>
    <row s="10287"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10287"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10287"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10287"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10287"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10287"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10287"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10287"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10287"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10287"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10287"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10287"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10287"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10287"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10287"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10287"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10287"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10287"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10287"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10287"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10287"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10287"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10287"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10287"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10287"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10287"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10287"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10287"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10287"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10287"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10287"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10287"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10287"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10287"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10287"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10287"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10287"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10287"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10287"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10287"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10287"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10287"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10287"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10287"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10287"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10287"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10287"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10287"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10287"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10287"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10287"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10287"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10287"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10287"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10287"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10287"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10287"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10287"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10287"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10287"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10287"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10287"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10287"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10287"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10287"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10287"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10287"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10287"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10287"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10287"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10287"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10287"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10287"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10287"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10287"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10287"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10287"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10287"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10287"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10287"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10287"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10287"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10287"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10287"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10287"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10287"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10287"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10287"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10287"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10287"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10287"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10287"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10287"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10287"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10287"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10287"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10287"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10287"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10287"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10287"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10287"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10287"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10287"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10287"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10287"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10287"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10287"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10287"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10287"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10287"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10287"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10287"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10287"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10287"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10287"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10287"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10287"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10287"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10287"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10287"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10287"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10287"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10287"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10287"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10287"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10287"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10287"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10287"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10287"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10287"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10287"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10287"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10287"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10287"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10287"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10287"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10287"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10287"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10287"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10287"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10287"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10287"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10287"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10287"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10287"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10287"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10287"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10287"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10287"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10287"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10287"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10287"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10287"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10287"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10287"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81</v>
      </c>
      <c r="B204" s="1157" t="s">
        <v>148</v>
      </c>
      <c r="C204" s="1157" t="s">
        <v>148</v>
      </c>
      <c r="D204" s="1157" t="s">
        <v>148</v>
      </c>
      <c r="E204" s="1157" t="s">
        <v>148</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F418-4CE5-BA48-DEC5-42AA7EAF1AC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9589" width="10.57421875" hidden="1"/>
    <col min="5" max="5" style="10533" width="9.140625" hidden="1" customWidth="1"/>
    <col min="6" max="7" style="9666" width="9.140625" hidden="1" customWidth="1"/>
    <col min="8" max="8" style="10534" width="3.00390625" customWidth="1"/>
    <col min="9" max="9" style="9589" width="6.00390625" customWidth="1"/>
    <col min="10" max="10" style="9589" width="63.00390625" customWidth="1"/>
    <col min="11" max="11" style="9589" width="9.00390625" customWidth="1"/>
    <col min="12" max="12" style="9589" width="39.00390625" customWidth="1"/>
    <col min="13" max="13" style="9589" width="89.00390625" customWidth="1"/>
    <col min="14" max="14" style="9589" width="10.00390625" customWidth="1"/>
    <col min="15" max="16" style="9756" width="10.00390625" customWidth="1"/>
    <col min="17" max="22" style="9589" width="10.00390625" customWidth="1"/>
    <col min="23" max="23" style="9589" width="10.57421875" hidden="1"/>
  </cols>
  <sheetData>
    <row customHeight="1" ht="22.5" hidden="1">
      <c r="S1" s="425"/>
      <c r="T1" s="425"/>
      <c r="V1" s="425"/>
      <c r="W1" s="1801" t="s">
        <v>14</v>
      </c>
    </row>
    <row customHeight="1" ht="22.5" hidden="1">
      <c r="B2" s="2223" t="s">
        <v>699</v>
      </c>
      <c r="C2" s="2223" t="s">
        <v>700</v>
      </c>
      <c r="D2" s="2222" t="s">
        <v>639</v>
      </c>
      <c r="E2" s="2228">
        <f>I2-3</f>
        <v>-3</v>
      </c>
      <c r="F2" s="2228">
        <f>J2</f>
        <v>0</v>
      </c>
      <c r="H2" s="1900" t="s">
        <v>489</v>
      </c>
      <c r="I2" s="2194"/>
      <c r="J2" s="1852"/>
      <c r="K2" s="2188" t="s">
        <v>309</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701</v>
      </c>
      <c r="J5" s="2418"/>
      <c r="K5" s="2418"/>
      <c r="L5" s="2418"/>
      <c r="M5" s="436"/>
      <c r="W5" s="1801">
        <v>48</v>
      </c>
    </row>
    <row customHeight="1" ht="18">
      <c r="H6" s="546"/>
      <c r="I6" s="2419" t="str">
        <f>IF(org=0,"Не определено",org)</f>
        <v>МУП "Водоканал"</v>
      </c>
      <c r="J6" s="2419"/>
      <c r="K6" s="2419"/>
      <c r="L6" s="2419"/>
      <c r="M6" s="436"/>
      <c r="W6" s="1801">
        <v>17</v>
      </c>
    </row>
    <row customHeight="1" ht="14.699999999999998">
      <c r="H7" s="546"/>
      <c r="I7" s="627"/>
      <c r="J7" s="633"/>
      <c r="K7" s="633"/>
      <c r="L7" s="922"/>
      <c r="M7" s="363"/>
      <c r="W7" s="1801">
        <v>14</v>
      </c>
    </row>
    <row customHeight="1" ht="14.699999999999998">
      <c r="H8" s="546"/>
      <c r="I8" s="2556" t="s">
        <v>303</v>
      </c>
      <c r="J8" s="2557"/>
      <c r="K8" s="2557"/>
      <c r="L8" s="2558"/>
      <c r="M8" s="2559" t="s">
        <v>304</v>
      </c>
      <c r="W8" s="1801">
        <v>14</v>
      </c>
    </row>
    <row customHeight="1" ht="35.699999999999996">
      <c r="E9" s="2221" t="s">
        <v>630</v>
      </c>
      <c r="F9" s="2221" t="s">
        <v>636</v>
      </c>
      <c r="H9" s="546"/>
      <c r="I9" s="2195" t="s">
        <v>87</v>
      </c>
      <c r="J9" s="2196" t="s">
        <v>305</v>
      </c>
      <c r="K9" s="2234" t="s">
        <v>578</v>
      </c>
      <c r="L9" s="2235" t="s">
        <v>306</v>
      </c>
      <c r="M9" s="2559"/>
      <c r="W9" s="1801">
        <v>34</v>
      </c>
    </row>
    <row customHeight="1" ht="35.699999999999996">
      <c r="B10" s="2223" t="s">
        <v>702</v>
      </c>
      <c r="C10" s="2223" t="s">
        <v>703</v>
      </c>
      <c r="D10" s="2222" t="s">
        <v>639</v>
      </c>
      <c r="E10" s="2226" t="s">
        <v>640</v>
      </c>
      <c r="F10" s="2226" t="s">
        <v>640</v>
      </c>
      <c r="H10" s="546"/>
      <c r="I10" s="2194" t="s">
        <v>108</v>
      </c>
      <c r="J10" s="2056" t="s">
        <v>704</v>
      </c>
      <c r="K10" s="2188" t="s">
        <v>309</v>
      </c>
      <c r="L10" s="988"/>
      <c r="M10" s="467" t="s">
        <v>705</v>
      </c>
      <c r="W10" s="1801">
        <v>34</v>
      </c>
    </row>
    <row customHeight="1" ht="50.25">
      <c r="B11" s="2223" t="s">
        <v>706</v>
      </c>
      <c r="C11" s="2223" t="s">
        <v>707</v>
      </c>
      <c r="D11" s="2222" t="s">
        <v>639</v>
      </c>
      <c r="E11" s="2226" t="s">
        <v>640</v>
      </c>
      <c r="F11" s="2226" t="s">
        <v>640</v>
      </c>
      <c r="H11" s="546"/>
      <c r="I11" s="2194" t="s">
        <v>109</v>
      </c>
      <c r="J11" s="2056" t="s">
        <v>708</v>
      </c>
      <c r="K11" s="2188" t="s">
        <v>309</v>
      </c>
      <c r="L11" s="988"/>
      <c r="M11" s="467" t="s">
        <v>705</v>
      </c>
      <c r="W11" s="1801">
        <v>48</v>
      </c>
    </row>
    <row customHeight="1" ht="48.29999999999999">
      <c r="B12" s="2223" t="s">
        <v>709</v>
      </c>
      <c r="C12" s="2223" t="s">
        <v>710</v>
      </c>
      <c r="D12" s="2222" t="s">
        <v>639</v>
      </c>
      <c r="E12" s="2226" t="s">
        <v>640</v>
      </c>
      <c r="F12" s="2226" t="s">
        <v>640</v>
      </c>
      <c r="H12" s="1858"/>
      <c r="I12" s="2194" t="s">
        <v>89</v>
      </c>
      <c r="J12" s="2201" t="s">
        <v>711</v>
      </c>
      <c r="K12" s="2188" t="s">
        <v>309</v>
      </c>
      <c r="L12" s="988"/>
      <c r="M12" s="467" t="s">
        <v>712</v>
      </c>
      <c r="N12" s="1794"/>
      <c r="P12" s="1801"/>
      <c r="W12" s="1801">
        <v>46</v>
      </c>
    </row>
    <row customHeight="1" ht="14.699999999999998">
      <c r="E13" s="513"/>
      <c r="H13" s="546"/>
      <c r="I13" s="517"/>
      <c r="J13" s="821" t="s">
        <v>713</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81</v>
      </c>
      <c r="B16" s="1801">
        <v>9</v>
      </c>
      <c r="C16" s="1801">
        <v>9</v>
      </c>
      <c r="D16" s="1801">
        <v>9</v>
      </c>
      <c r="E16" s="2200" t="s">
        <v>147</v>
      </c>
      <c r="F16" s="2225" t="s">
        <v>147</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24099-1F6C-7777-2325-B9FDBD8A58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175" width="10.7109375" hidden="1" customWidth="1"/>
    <col min="2" max="2" style="9666" width="16.8515625" hidden="1" customWidth="1"/>
    <col min="3" max="3" style="9667" width="5.57421875" hidden="1" customWidth="1"/>
    <col min="4" max="4" style="9589" width="3.00390625" customWidth="1"/>
    <col min="5" max="5" style="9589" width="7.00390625" customWidth="1"/>
    <col min="6" max="6" style="9589" width="56.00390625" customWidth="1"/>
    <col min="7" max="7" style="9589" width="10.00390625" customWidth="1"/>
    <col min="8" max="8" style="9589" width="40.7109375" hidden="1" customWidth="1"/>
    <col min="9" max="9" style="9589" width="40.00390625" customWidth="1"/>
    <col min="10" max="10" style="9589" width="102.00390625" customWidth="1"/>
    <col min="11" max="11" style="9666" width="9.00390625" customWidth="1"/>
    <col min="12" max="12" style="9667" width="5.00390625" customWidth="1"/>
    <col min="13" max="13" style="9667" width="3.00390625" customWidth="1"/>
    <col min="14" max="17" style="9666" width="3.00390625" customWidth="1"/>
    <col min="18" max="18" style="9667" width="10.00390625" customWidth="1"/>
    <col min="19" max="19" style="9666" width="34.00390625" customWidth="1"/>
    <col min="20" max="20" style="9666" width="9.00390625" customWidth="1"/>
    <col min="21" max="21" style="12176" width="8.00390625" customWidth="1"/>
    <col min="22" max="26" style="9666" width="8.00390625" customWidth="1"/>
    <col min="27" max="31" style="9553" width="8.00390625" customWidth="1"/>
    <col min="32" max="32" style="9589" width="10.421875" hidden="1" customWidth="1"/>
  </cols>
  <sheetData>
    <row s="9666" customFormat="1" customHeight="1" ht="22.5" hidden="1">
      <c r="A1" s="1157"/>
      <c r="C1" s="1806"/>
      <c r="D1" s="707"/>
      <c r="H1" s="1330">
        <v>4</v>
      </c>
      <c r="I1" s="1330">
        <v>4</v>
      </c>
      <c r="L1" s="1806"/>
      <c r="M1" s="1806"/>
      <c r="R1" s="1806"/>
      <c r="AF1" s="1330" t="s">
        <v>14</v>
      </c>
    </row>
    <row s="9666" customFormat="1" customHeight="1" ht="22.5" hidden="1">
      <c r="A2" s="1157"/>
      <c r="C2" s="1806"/>
      <c r="D2" s="708"/>
      <c r="E2" s="1807"/>
      <c r="F2" s="710"/>
      <c r="G2" s="1809" t="s">
        <v>564</v>
      </c>
      <c r="H2" s="711"/>
      <c r="I2" s="711"/>
      <c r="J2" s="712" t="s">
        <v>714</v>
      </c>
      <c r="K2" s="713"/>
      <c r="L2" s="1806"/>
      <c r="M2" s="1806"/>
      <c r="R2" s="1806"/>
      <c r="U2" s="714"/>
      <c r="AA2" s="1802"/>
      <c r="AB2" s="1802"/>
      <c r="AC2" s="1802"/>
      <c r="AD2" s="1802"/>
      <c r="AE2" s="1802"/>
      <c r="AF2" s="1330">
        <v>0</v>
      </c>
    </row>
    <row customHeight="1" ht="11.25" hidden="1">
      <c r="AF3" s="1801">
        <v>0</v>
      </c>
    </row>
    <row s="9553"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715</v>
      </c>
      <c r="F6" s="2477"/>
      <c r="G6" s="2477"/>
      <c r="H6" s="2477"/>
      <c r="I6" s="2477"/>
      <c r="J6" s="726"/>
      <c r="AF6" s="1801">
        <v>30</v>
      </c>
    </row>
    <row customHeight="1" ht="11.549999999999999">
      <c r="E7" s="2419" t="str">
        <f>IF(org=0,"Не определено",org)</f>
        <v>МУП "Водоканал"</v>
      </c>
      <c r="F7" s="2419"/>
      <c r="G7" s="2419"/>
      <c r="H7" s="2419"/>
      <c r="I7" s="2419"/>
      <c r="AF7" s="1801">
        <v>11</v>
      </c>
    </row>
    <row customHeight="1" ht="11.549999999999999">
      <c r="E8" s="1305"/>
      <c r="F8" s="1305"/>
      <c r="G8" s="1305"/>
      <c r="H8" s="1305"/>
      <c r="I8" s="1305"/>
      <c r="AF8" s="1801">
        <v>11</v>
      </c>
    </row>
    <row s="9667" customFormat="1" customHeight="1" ht="4.2">
      <c r="A9" s="1337"/>
      <c r="D9" s="1812"/>
      <c r="H9" s="1059"/>
      <c r="I9" s="1059" t="s">
        <v>116</v>
      </c>
      <c r="AF9" s="1806">
        <v>4</v>
      </c>
    </row>
    <row customHeight="1" ht="11.549999999999999">
      <c r="E10" s="881"/>
      <c r="F10" s="2537" t="s">
        <v>104</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576</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577</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303</v>
      </c>
      <c r="F13" s="2540"/>
      <c r="G13" s="2540"/>
      <c r="H13" s="1721"/>
      <c r="I13" s="1721"/>
      <c r="J13" s="2297"/>
      <c r="AF13" s="1801">
        <v>11</v>
      </c>
    </row>
    <row customHeight="1" ht="24">
      <c r="E14" s="1809" t="s">
        <v>87</v>
      </c>
      <c r="F14" s="1804" t="s">
        <v>305</v>
      </c>
      <c r="G14" s="1804" t="s">
        <v>578</v>
      </c>
      <c r="H14" s="1804" t="s">
        <v>306</v>
      </c>
      <c r="I14" s="1804" t="s">
        <v>306</v>
      </c>
      <c r="J14" s="2297"/>
      <c r="AF14" s="1801">
        <v>23</v>
      </c>
    </row>
    <row customHeight="1" ht="19.95">
      <c r="D15" s="1808"/>
      <c r="E15" s="1800" t="s">
        <v>108</v>
      </c>
      <c r="F15" s="877" t="s">
        <v>716</v>
      </c>
      <c r="G15" s="1816" t="s">
        <v>564</v>
      </c>
      <c r="H15" s="727"/>
      <c r="I15" s="727"/>
      <c r="J15" s="459" t="s">
        <v>717</v>
      </c>
      <c r="K15" s="713" t="s">
        <v>642</v>
      </c>
      <c r="AF15" s="1801">
        <v>19</v>
      </c>
    </row>
    <row customHeight="1" ht="35.699999999999996">
      <c r="D16" s="1808"/>
      <c r="E16" s="1800" t="s">
        <v>109</v>
      </c>
      <c r="F16" s="877" t="s">
        <v>718</v>
      </c>
      <c r="G16" s="1816" t="s">
        <v>564</v>
      </c>
      <c r="H16" s="728">
        <f>SUM(H17,H20:H32)</f>
        <v>0</v>
      </c>
      <c r="I16" s="728">
        <f>SUM(I17,I20,I23,I26,I29:I32)</f>
        <v>0</v>
      </c>
      <c r="J16" s="459" t="s">
        <v>719</v>
      </c>
      <c r="K16" s="713" t="s">
        <v>642</v>
      </c>
      <c r="AF16" s="1801">
        <v>34</v>
      </c>
    </row>
    <row customHeight="1" ht="19.95">
      <c r="D17" s="1808"/>
      <c r="E17" s="1834" t="s">
        <v>720</v>
      </c>
      <c r="F17" s="1124" t="s">
        <v>721</v>
      </c>
      <c r="G17" s="1813" t="s">
        <v>564</v>
      </c>
      <c r="H17" s="727"/>
      <c r="I17" s="727"/>
      <c r="J17" s="459" t="s">
        <v>722</v>
      </c>
      <c r="K17" s="713"/>
      <c r="AF17" s="1801">
        <v>19</v>
      </c>
    </row>
    <row customHeight="1" ht="24">
      <c r="D18" s="1808"/>
      <c r="E18" s="1834" t="s">
        <v>723</v>
      </c>
      <c r="F18" s="1820" t="s">
        <v>724</v>
      </c>
      <c r="G18" s="1813" t="s">
        <v>564</v>
      </c>
      <c r="H18" s="727"/>
      <c r="I18" s="727"/>
      <c r="J18" s="459" t="s">
        <v>725</v>
      </c>
      <c r="K18" s="713"/>
      <c r="AF18" s="1801">
        <v>23</v>
      </c>
    </row>
    <row customHeight="1" ht="35.699999999999996">
      <c r="D19" s="1808"/>
      <c r="E19" s="1834" t="s">
        <v>726</v>
      </c>
      <c r="F19" s="1820" t="s">
        <v>727</v>
      </c>
      <c r="G19" s="1813" t="s">
        <v>564</v>
      </c>
      <c r="H19" s="727"/>
      <c r="I19" s="727"/>
      <c r="J19" s="459"/>
      <c r="K19" s="713"/>
      <c r="AF19" s="1801">
        <v>34</v>
      </c>
    </row>
    <row customHeight="1" ht="19.95">
      <c r="D20" s="1808"/>
      <c r="E20" s="1834" t="s">
        <v>310</v>
      </c>
      <c r="F20" s="1124" t="s">
        <v>728</v>
      </c>
      <c r="G20" s="1813" t="s">
        <v>564</v>
      </c>
      <c r="H20" s="727"/>
      <c r="I20" s="727"/>
      <c r="J20" s="459" t="s">
        <v>729</v>
      </c>
      <c r="K20" s="713"/>
      <c r="AF20" s="1801">
        <v>19</v>
      </c>
    </row>
    <row customHeight="1" ht="19.95">
      <c r="D21" s="1808"/>
      <c r="E21" s="1834" t="s">
        <v>730</v>
      </c>
      <c r="F21" s="1820" t="s">
        <v>731</v>
      </c>
      <c r="G21" s="1813" t="s">
        <v>564</v>
      </c>
      <c r="H21" s="727"/>
      <c r="I21" s="727"/>
      <c r="J21" s="459"/>
      <c r="K21" s="713"/>
      <c r="AF21" s="1801">
        <v>19</v>
      </c>
    </row>
    <row customHeight="1" ht="19.95">
      <c r="D22" s="1808"/>
      <c r="E22" s="1834" t="s">
        <v>732</v>
      </c>
      <c r="F22" s="1820" t="s">
        <v>733</v>
      </c>
      <c r="G22" s="1813" t="s">
        <v>564</v>
      </c>
      <c r="H22" s="727"/>
      <c r="I22" s="727"/>
      <c r="J22" s="459"/>
      <c r="K22" s="713"/>
      <c r="AF22" s="1801">
        <v>19</v>
      </c>
    </row>
    <row customHeight="1" ht="24">
      <c r="D23" s="1808"/>
      <c r="E23" s="1834" t="s">
        <v>313</v>
      </c>
      <c r="F23" s="1124" t="s">
        <v>734</v>
      </c>
      <c r="G23" s="1813" t="s">
        <v>564</v>
      </c>
      <c r="H23" s="727"/>
      <c r="I23" s="727"/>
      <c r="J23" s="459" t="s">
        <v>735</v>
      </c>
      <c r="K23" s="713"/>
      <c r="AF23" s="1801">
        <v>23</v>
      </c>
    </row>
    <row customHeight="1" ht="19.95">
      <c r="D24" s="1808"/>
      <c r="E24" s="1834" t="s">
        <v>736</v>
      </c>
      <c r="F24" s="1820" t="s">
        <v>737</v>
      </c>
      <c r="G24" s="1813" t="s">
        <v>564</v>
      </c>
      <c r="H24" s="727"/>
      <c r="I24" s="727"/>
      <c r="J24" s="459"/>
      <c r="K24" s="713"/>
      <c r="AF24" s="1801">
        <v>19</v>
      </c>
    </row>
    <row customHeight="1" ht="35.699999999999996">
      <c r="D25" s="1808"/>
      <c r="E25" s="1834" t="s">
        <v>738</v>
      </c>
      <c r="F25" s="1820" t="s">
        <v>739</v>
      </c>
      <c r="G25" s="1813" t="s">
        <v>564</v>
      </c>
      <c r="H25" s="727"/>
      <c r="I25" s="727"/>
      <c r="J25" s="459"/>
      <c r="K25" s="713"/>
      <c r="AF25" s="1801">
        <v>34</v>
      </c>
    </row>
    <row customHeight="1" ht="24">
      <c r="D26" s="1808"/>
      <c r="E26" s="1834" t="s">
        <v>740</v>
      </c>
      <c r="F26" s="1124" t="s">
        <v>741</v>
      </c>
      <c r="G26" s="1813" t="s">
        <v>564</v>
      </c>
      <c r="H26" s="727"/>
      <c r="I26" s="727"/>
      <c r="J26" s="459" t="s">
        <v>742</v>
      </c>
      <c r="K26" s="713"/>
      <c r="AF26" s="1801">
        <v>23</v>
      </c>
    </row>
    <row customHeight="1" ht="19.95">
      <c r="D27" s="1808"/>
      <c r="E27" s="1845" t="s">
        <v>743</v>
      </c>
      <c r="F27" s="1820" t="s">
        <v>744</v>
      </c>
      <c r="G27" s="1824" t="s">
        <v>564</v>
      </c>
      <c r="H27" s="1846"/>
      <c r="I27" s="1846"/>
      <c r="J27" s="459"/>
      <c r="K27" s="713"/>
      <c r="AF27" s="1801">
        <v>19</v>
      </c>
    </row>
    <row customHeight="1" ht="19.95">
      <c r="D28" s="1808"/>
      <c r="E28" s="1845" t="s">
        <v>745</v>
      </c>
      <c r="F28" s="1820" t="s">
        <v>746</v>
      </c>
      <c r="G28" s="1824" t="s">
        <v>564</v>
      </c>
      <c r="H28" s="1846"/>
      <c r="I28" s="1846"/>
      <c r="J28" s="459"/>
      <c r="K28" s="713"/>
      <c r="AF28" s="1801">
        <v>19</v>
      </c>
    </row>
    <row customHeight="1" ht="19.95">
      <c r="D29" s="1808"/>
      <c r="E29" s="1845" t="s">
        <v>747</v>
      </c>
      <c r="F29" s="1124" t="s">
        <v>748</v>
      </c>
      <c r="G29" s="1824" t="s">
        <v>564</v>
      </c>
      <c r="H29" s="1846"/>
      <c r="I29" s="1846"/>
      <c r="J29" s="459"/>
      <c r="K29" s="713"/>
      <c r="AF29" s="1801">
        <v>19</v>
      </c>
    </row>
    <row customHeight="1" ht="19.95">
      <c r="D30" s="1808"/>
      <c r="E30" s="1845" t="s">
        <v>749</v>
      </c>
      <c r="F30" s="1124" t="s">
        <v>750</v>
      </c>
      <c r="G30" s="1824" t="s">
        <v>564</v>
      </c>
      <c r="H30" s="1846"/>
      <c r="I30" s="1846"/>
      <c r="J30" s="459"/>
      <c r="K30" s="713"/>
      <c r="AF30" s="1801">
        <v>19</v>
      </c>
    </row>
    <row customHeight="1" ht="19.95">
      <c r="D31" s="1808"/>
      <c r="E31" s="1845" t="s">
        <v>751</v>
      </c>
      <c r="F31" s="1124" t="s">
        <v>752</v>
      </c>
      <c r="G31" s="1824" t="s">
        <v>564</v>
      </c>
      <c r="H31" s="1846"/>
      <c r="I31" s="1846"/>
      <c r="J31" s="459"/>
      <c r="K31" s="713"/>
      <c r="AF31" s="1801">
        <v>19</v>
      </c>
    </row>
    <row s="9666" customFormat="1" customHeight="1" ht="35.699999999999996">
      <c r="A32" s="1157"/>
      <c r="C32" s="1806"/>
      <c r="D32" s="1808"/>
      <c r="E32" s="1845" t="s">
        <v>753</v>
      </c>
      <c r="F32" s="1124" t="s">
        <v>754</v>
      </c>
      <c r="G32" s="1814" t="s">
        <v>564</v>
      </c>
      <c r="H32" s="749">
        <f>SUM(H33:H34)</f>
        <v>0</v>
      </c>
      <c r="I32" s="749">
        <f>SUM(I33:I34)</f>
        <v>0</v>
      </c>
      <c r="J32" s="459" t="s">
        <v>755</v>
      </c>
      <c r="K32" s="713"/>
      <c r="L32" s="1806"/>
      <c r="M32" s="1806"/>
      <c r="R32" s="1806"/>
      <c r="U32" s="714"/>
      <c r="AA32" s="1802"/>
      <c r="AB32" s="1802"/>
      <c r="AC32" s="1802"/>
      <c r="AD32" s="1802"/>
      <c r="AE32" s="1802"/>
      <c r="AF32" s="1330">
        <v>34</v>
      </c>
    </row>
    <row s="9667" customFormat="1" customHeight="1" ht="1.05">
      <c r="A33" s="1337"/>
      <c r="D33" s="718"/>
      <c r="E33" s="972" t="str">
        <f>E32&amp;".0"</f>
        <v>2.8.0</v>
      </c>
      <c r="F33" s="1161"/>
      <c r="G33" s="721"/>
      <c r="H33" s="1162"/>
      <c r="I33" s="1162"/>
      <c r="J33" s="1163"/>
      <c r="AF33" s="1806">
        <v>1</v>
      </c>
    </row>
    <row s="9666" customFormat="1" customHeight="1" ht="19.95">
      <c r="A34" s="1157"/>
      <c r="C34" s="1806"/>
      <c r="D34" s="1803"/>
      <c r="E34" s="740"/>
      <c r="F34" s="1836" t="s">
        <v>589</v>
      </c>
      <c r="G34" s="742"/>
      <c r="H34" s="743"/>
      <c r="I34" s="743"/>
      <c r="J34" s="471" t="s">
        <v>756</v>
      </c>
      <c r="K34" s="713"/>
      <c r="L34" s="1806"/>
      <c r="M34" s="1806"/>
      <c r="R34" s="1806"/>
      <c r="U34" s="714"/>
      <c r="AA34" s="1802"/>
      <c r="AB34" s="1802"/>
      <c r="AC34" s="1802"/>
      <c r="AD34" s="1802"/>
      <c r="AE34" s="1802"/>
      <c r="AF34" s="1330">
        <v>19</v>
      </c>
    </row>
    <row customHeight="1" ht="60">
      <c r="D35" s="1808"/>
      <c r="E35" s="1845" t="s">
        <v>757</v>
      </c>
      <c r="F35" s="1124" t="s">
        <v>758</v>
      </c>
      <c r="G35" s="1824" t="s">
        <v>564</v>
      </c>
      <c r="H35" s="1846"/>
      <c r="I35" s="1846"/>
      <c r="J35" s="459" t="s">
        <v>759</v>
      </c>
      <c r="K35" s="713"/>
      <c r="AF35" s="1801">
        <v>57</v>
      </c>
    </row>
    <row s="9666" customFormat="1" customHeight="1" ht="24">
      <c r="A36" s="1159" t="s">
        <v>590</v>
      </c>
      <c r="C36" s="1806"/>
      <c r="D36" s="1808"/>
      <c r="E36" s="1834" t="s">
        <v>89</v>
      </c>
      <c r="F36" s="877" t="s">
        <v>760</v>
      </c>
      <c r="G36" s="1813" t="s">
        <v>564</v>
      </c>
      <c r="H36" s="727"/>
      <c r="I36" s="727"/>
      <c r="J36" s="459" t="s">
        <v>761</v>
      </c>
      <c r="K36" s="713"/>
      <c r="L36" s="1806"/>
      <c r="M36" s="1806"/>
      <c r="R36" s="1806"/>
      <c r="U36" s="714"/>
      <c r="AA36" s="1802"/>
      <c r="AB36" s="1802"/>
      <c r="AC36" s="1802"/>
      <c r="AD36" s="1802"/>
      <c r="AE36" s="1802"/>
      <c r="AF36" s="1330">
        <v>23</v>
      </c>
    </row>
    <row s="9666" customFormat="1" customHeight="1" ht="35.699999999999996">
      <c r="A37" s="1159"/>
      <c r="C37" s="1806"/>
      <c r="D37" s="1808"/>
      <c r="E37" s="1834" t="s">
        <v>327</v>
      </c>
      <c r="F37" s="1124" t="s">
        <v>762</v>
      </c>
      <c r="G37" s="1824"/>
      <c r="H37" s="727"/>
      <c r="I37" s="727"/>
      <c r="J37" s="459"/>
      <c r="K37" s="713"/>
      <c r="L37" s="1806"/>
      <c r="M37" s="1806"/>
      <c r="R37" s="1806"/>
      <c r="U37" s="714"/>
      <c r="AA37" s="1802"/>
      <c r="AB37" s="1802"/>
      <c r="AC37" s="1802"/>
      <c r="AD37" s="1802"/>
      <c r="AE37" s="1802"/>
      <c r="AF37" s="1330">
        <v>34</v>
      </c>
    </row>
    <row s="9666" customFormat="1" customHeight="1" ht="19.95">
      <c r="A38" s="1157"/>
      <c r="C38" s="1806"/>
      <c r="D38" s="745"/>
      <c r="E38" s="1834" t="s">
        <v>90</v>
      </c>
      <c r="F38" s="877" t="s">
        <v>763</v>
      </c>
      <c r="G38" s="1813" t="s">
        <v>564</v>
      </c>
      <c r="H38" s="727"/>
      <c r="I38" s="727"/>
      <c r="J38" s="459" t="s">
        <v>764</v>
      </c>
      <c r="K38" s="713"/>
      <c r="L38" s="1806"/>
      <c r="M38" s="1806"/>
      <c r="R38" s="1806"/>
      <c r="U38" s="714"/>
      <c r="AA38" s="1802"/>
      <c r="AB38" s="1802"/>
      <c r="AC38" s="1802"/>
      <c r="AD38" s="1802"/>
      <c r="AE38" s="1802"/>
      <c r="AF38" s="1330">
        <v>19</v>
      </c>
    </row>
    <row s="9666" customFormat="1" customHeight="1" ht="24">
      <c r="A39" s="1157"/>
      <c r="C39" s="1806"/>
      <c r="D39" s="745"/>
      <c r="E39" s="1834" t="s">
        <v>765</v>
      </c>
      <c r="F39" s="1124" t="s">
        <v>766</v>
      </c>
      <c r="G39" s="1824" t="s">
        <v>564</v>
      </c>
      <c r="H39" s="727"/>
      <c r="I39" s="727"/>
      <c r="J39" s="459" t="s">
        <v>767</v>
      </c>
      <c r="K39" s="713"/>
      <c r="L39" s="1806"/>
      <c r="M39" s="1806"/>
      <c r="R39" s="1806"/>
      <c r="U39" s="714"/>
      <c r="AA39" s="1802"/>
      <c r="AB39" s="1802"/>
      <c r="AC39" s="1802"/>
      <c r="AD39" s="1802"/>
      <c r="AE39" s="1802"/>
      <c r="AF39" s="1330">
        <v>23</v>
      </c>
    </row>
    <row s="9666" customFormat="1" customHeight="1" ht="24">
      <c r="A40" s="1157"/>
      <c r="C40" s="1806"/>
      <c r="D40" s="1808"/>
      <c r="E40" s="1834" t="s">
        <v>768</v>
      </c>
      <c r="F40" s="1820" t="s">
        <v>769</v>
      </c>
      <c r="G40" s="1813" t="s">
        <v>564</v>
      </c>
      <c r="H40" s="727"/>
      <c r="I40" s="727"/>
      <c r="J40" s="459" t="s">
        <v>770</v>
      </c>
      <c r="K40" s="713"/>
      <c r="L40" s="1806"/>
      <c r="M40" s="1806"/>
      <c r="R40" s="1806"/>
      <c r="U40" s="714"/>
      <c r="AA40" s="1802"/>
      <c r="AB40" s="1802"/>
      <c r="AC40" s="1802"/>
      <c r="AD40" s="1802"/>
      <c r="AE40" s="1802"/>
      <c r="AF40" s="1330">
        <v>23</v>
      </c>
    </row>
    <row s="9666" customFormat="1" customHeight="1" ht="24">
      <c r="A41" s="1157"/>
      <c r="C41" s="1806"/>
      <c r="D41" s="1808"/>
      <c r="E41" s="1834" t="s">
        <v>771</v>
      </c>
      <c r="F41" s="1820" t="s">
        <v>772</v>
      </c>
      <c r="G41" s="1813" t="s">
        <v>564</v>
      </c>
      <c r="H41" s="727"/>
      <c r="I41" s="727"/>
      <c r="J41" s="459" t="s">
        <v>773</v>
      </c>
      <c r="K41" s="713"/>
      <c r="L41" s="1806"/>
      <c r="M41" s="1806"/>
      <c r="R41" s="1806"/>
      <c r="U41" s="714"/>
      <c r="AA41" s="1802"/>
      <c r="AB41" s="1802"/>
      <c r="AC41" s="1802"/>
      <c r="AD41" s="1802"/>
      <c r="AE41" s="1802"/>
      <c r="AF41" s="1330">
        <v>23</v>
      </c>
    </row>
    <row s="9666" customFormat="1" customHeight="1" ht="24">
      <c r="A42" s="1157"/>
      <c r="C42" s="1806"/>
      <c r="D42" s="1808"/>
      <c r="E42" s="1834" t="s">
        <v>774</v>
      </c>
      <c r="F42" s="1820" t="s">
        <v>775</v>
      </c>
      <c r="G42" s="1813" t="s">
        <v>564</v>
      </c>
      <c r="H42" s="727"/>
      <c r="I42" s="727"/>
      <c r="J42" s="459" t="s">
        <v>776</v>
      </c>
      <c r="K42" s="713"/>
      <c r="L42" s="1806"/>
      <c r="M42" s="1806"/>
      <c r="R42" s="1806"/>
      <c r="U42" s="714"/>
      <c r="AA42" s="1802"/>
      <c r="AB42" s="1802"/>
      <c r="AC42" s="1802"/>
      <c r="AD42" s="1802"/>
      <c r="AE42" s="1802"/>
      <c r="AF42" s="1330">
        <v>23</v>
      </c>
    </row>
    <row s="9666" customFormat="1" customHeight="1" ht="35.699999999999996">
      <c r="A43" s="1157"/>
      <c r="C43" s="1806" t="s">
        <v>600</v>
      </c>
      <c r="D43" s="1808"/>
      <c r="E43" s="1834" t="s">
        <v>110</v>
      </c>
      <c r="F43" s="877" t="s">
        <v>641</v>
      </c>
      <c r="G43" s="1816" t="s">
        <v>777</v>
      </c>
      <c r="H43" s="571"/>
      <c r="I43" s="571"/>
      <c r="J43" s="459" t="s">
        <v>778</v>
      </c>
      <c r="K43" s="713"/>
      <c r="L43" s="1806"/>
      <c r="M43" s="1806"/>
      <c r="R43" s="1806"/>
      <c r="U43" s="714"/>
      <c r="AA43" s="1802"/>
      <c r="AB43" s="1802"/>
      <c r="AC43" s="1802"/>
      <c r="AD43" s="1802"/>
      <c r="AE43" s="1802"/>
      <c r="AF43" s="1330">
        <v>34</v>
      </c>
    </row>
    <row s="9666" customFormat="1" customHeight="1" ht="35.699999999999996">
      <c r="A44" s="1157"/>
      <c r="C44" s="1806"/>
      <c r="D44" s="1808"/>
      <c r="E44" s="1834" t="s">
        <v>91</v>
      </c>
      <c r="F44" s="877" t="s">
        <v>779</v>
      </c>
      <c r="G44" s="1813" t="s">
        <v>780</v>
      </c>
      <c r="H44" s="715"/>
      <c r="I44" s="715"/>
      <c r="J44" s="459" t="s">
        <v>781</v>
      </c>
      <c r="K44" s="713"/>
      <c r="L44" s="1806"/>
      <c r="M44" s="1806"/>
      <c r="R44" s="1806"/>
      <c r="U44" s="714"/>
      <c r="AA44" s="1802"/>
      <c r="AB44" s="1802"/>
      <c r="AC44" s="1802"/>
      <c r="AD44" s="1802"/>
      <c r="AE44" s="1802"/>
      <c r="AF44" s="1330">
        <v>34</v>
      </c>
    </row>
    <row s="9666" customFormat="1" customHeight="1" ht="24">
      <c r="A45" s="1157"/>
      <c r="C45" s="1806"/>
      <c r="D45" s="1808"/>
      <c r="E45" s="1834" t="s">
        <v>92</v>
      </c>
      <c r="F45" s="877" t="s">
        <v>782</v>
      </c>
      <c r="G45" s="1824" t="s">
        <v>783</v>
      </c>
      <c r="H45" s="715"/>
      <c r="I45" s="715"/>
      <c r="J45" s="459" t="s">
        <v>784</v>
      </c>
      <c r="K45" s="713"/>
      <c r="L45" s="1806"/>
      <c r="M45" s="1806"/>
      <c r="R45" s="1806"/>
      <c r="U45" s="714"/>
      <c r="AA45" s="1802"/>
      <c r="AB45" s="1802"/>
      <c r="AC45" s="1802"/>
      <c r="AD45" s="1802"/>
      <c r="AE45" s="1802"/>
      <c r="AF45" s="1330">
        <v>23</v>
      </c>
    </row>
    <row s="9666" customFormat="1" customHeight="1" ht="19.95">
      <c r="A46" s="1157"/>
      <c r="C46" s="1806"/>
      <c r="D46" s="1808"/>
      <c r="E46" s="1834" t="s">
        <v>111</v>
      </c>
      <c r="F46" s="877" t="s">
        <v>785</v>
      </c>
      <c r="G46" s="1813" t="s">
        <v>602</v>
      </c>
      <c r="H46" s="747"/>
      <c r="I46" s="747"/>
      <c r="J46" s="459"/>
      <c r="K46" s="713"/>
      <c r="L46" s="1806"/>
      <c r="M46" s="1806"/>
      <c r="R46" s="1806"/>
      <c r="U46" s="714"/>
      <c r="AA46" s="1802"/>
      <c r="AB46" s="1802"/>
      <c r="AC46" s="1802"/>
      <c r="AD46" s="1802"/>
      <c r="AE46" s="1802"/>
      <c r="AF46" s="1330">
        <v>19</v>
      </c>
    </row>
    <row customHeight="1" ht="11.549999999999999">
      <c r="D47" s="1808"/>
      <c r="AF47" s="1801">
        <v>11</v>
      </c>
    </row>
    <row s="10287"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10287"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10287"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10287"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10287"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10287"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10287"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10287"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10287"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10287"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10287"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10287"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10287"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10287"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10287"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10287"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10287"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10287"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10287"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10287"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10287"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10287"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10287"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10287"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10287"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10287"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10287"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10287"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10287"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10287"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10287"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10287"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10287"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10287"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10287"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10287"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10287"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10287"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10287"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10287"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10287"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10287"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10287"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10287"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10287"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10287"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10287"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10287"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10287"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10287"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10287"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10287"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10287"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10287"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10287"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10287"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10287"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10287"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10287"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10287"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10287"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10287"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10287"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10287"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10287"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10287"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10287"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10287"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10287"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10287"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10287"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10287"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10287"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10287"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10287"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10287"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10287"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10287"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10287"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10287"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10287"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10287"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10287"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10287"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10287"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10287"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028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028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0287"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028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028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028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028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028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028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028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028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028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028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028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028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028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028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028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028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028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028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028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028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028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028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028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028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028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028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028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028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028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028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028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028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028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028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028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028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028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028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028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028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028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028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028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028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028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028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028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028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028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028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028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028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028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028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028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028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028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028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028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10287"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10287"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10287"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10287"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10287"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10287"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10287"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81</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8AC3B-A6FF-57BE-6DA9-97CF5BA66B0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175" width="10.7109375" hidden="1" customWidth="1"/>
    <col min="2" max="2" style="9666" width="16.8515625" hidden="1" customWidth="1"/>
    <col min="3" max="3" style="9667" width="5.57421875" hidden="1" customWidth="1"/>
    <col min="4" max="4" style="9589" width="3.00390625" customWidth="1"/>
    <col min="5" max="5" style="9589" width="7.00390625" customWidth="1"/>
    <col min="6" max="6" style="9589" width="54.00390625" customWidth="1"/>
    <col min="7" max="7" style="9589" width="10.00390625" customWidth="1"/>
    <col min="8" max="8" style="9589" width="40.7109375" hidden="1" customWidth="1"/>
    <col min="9" max="9" style="9589" width="40.00390625" customWidth="1"/>
    <col min="10" max="10" style="9589" width="102.00390625" customWidth="1"/>
    <col min="11" max="11" style="9666" width="9.00390625" customWidth="1"/>
    <col min="12" max="12" style="9667" width="5.00390625" customWidth="1"/>
    <col min="13" max="13" style="9667" width="3.00390625" customWidth="1"/>
    <col min="14" max="17" style="9666" width="3.00390625" customWidth="1"/>
    <col min="18" max="18" style="9667" width="10.00390625" customWidth="1"/>
    <col min="19" max="19" style="9666" width="34.00390625" customWidth="1"/>
    <col min="20" max="20" style="9666" width="9.00390625" customWidth="1"/>
    <col min="21" max="21" style="12176" width="8.00390625" customWidth="1"/>
    <col min="22" max="26" style="9666" width="8.00390625" customWidth="1"/>
    <col min="27" max="31" style="9553" width="8.00390625" customWidth="1"/>
    <col min="32" max="32" style="9589" width="9.140625" hidden="1"/>
  </cols>
  <sheetData>
    <row s="9666" customFormat="1" customHeight="1" ht="22.5" hidden="1">
      <c r="A1" s="1157"/>
      <c r="C1" s="1806"/>
      <c r="D1" s="707"/>
      <c r="H1" s="1330">
        <v>4</v>
      </c>
      <c r="I1" s="1330">
        <v>4</v>
      </c>
      <c r="L1" s="1806"/>
      <c r="M1" s="1806"/>
      <c r="R1" s="1806"/>
      <c r="AF1" s="1330" t="s">
        <v>14</v>
      </c>
    </row>
    <row s="9666" customFormat="1" customHeight="1" ht="22.5" hidden="1">
      <c r="A2" s="1157"/>
      <c r="C2" s="1806"/>
      <c r="D2" s="708"/>
      <c r="E2" s="1828"/>
      <c r="F2" s="710"/>
      <c r="G2" s="1827" t="s">
        <v>564</v>
      </c>
      <c r="H2" s="711"/>
      <c r="I2" s="711"/>
      <c r="J2" s="712" t="s">
        <v>567</v>
      </c>
      <c r="K2" s="713"/>
      <c r="L2" s="1806"/>
      <c r="M2" s="1806"/>
      <c r="R2" s="1806"/>
      <c r="U2" s="714"/>
      <c r="AA2" s="1802"/>
      <c r="AB2" s="1802"/>
      <c r="AC2" s="1802"/>
      <c r="AD2" s="1802"/>
      <c r="AE2" s="1802"/>
      <c r="AF2" s="1330">
        <v>0</v>
      </c>
    </row>
    <row customHeight="1" ht="11.25" hidden="1">
      <c r="AF3" s="1801">
        <v>0</v>
      </c>
    </row>
    <row s="9553"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786</v>
      </c>
      <c r="F6" s="2418"/>
      <c r="G6" s="2418"/>
      <c r="H6" s="2418"/>
      <c r="I6" s="2418"/>
      <c r="J6" s="726"/>
      <c r="AF6" s="1801">
        <v>32</v>
      </c>
    </row>
    <row customHeight="1" ht="25.2">
      <c r="E7" s="2419" t="str">
        <f>IF(org=0,"Не определено",org)</f>
        <v>МУП "Водоканал"</v>
      </c>
      <c r="F7" s="2419"/>
      <c r="G7" s="2419"/>
      <c r="H7" s="2419"/>
      <c r="I7" s="2419"/>
      <c r="AF7" s="1801">
        <v>24</v>
      </c>
    </row>
    <row customHeight="1" ht="11.549999999999999">
      <c r="E8" s="1305"/>
      <c r="F8" s="1305"/>
      <c r="G8" s="1305"/>
      <c r="H8" s="1305"/>
      <c r="I8" s="1305"/>
      <c r="AF8" s="1801">
        <v>11</v>
      </c>
    </row>
    <row s="9667" customFormat="1" customHeight="1" ht="1.05">
      <c r="A9" s="1337"/>
      <c r="D9" s="1812"/>
      <c r="H9" s="1059"/>
      <c r="I9" s="1059" t="s">
        <v>116</v>
      </c>
      <c r="AF9" s="1806">
        <v>1</v>
      </c>
    </row>
    <row customHeight="1" ht="11.549999999999999">
      <c r="E10" s="881"/>
      <c r="F10" s="2537" t="s">
        <v>104</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576</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577</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303</v>
      </c>
      <c r="F13" s="2540"/>
      <c r="G13" s="2540"/>
      <c r="H13" s="1826"/>
      <c r="I13" s="1826"/>
      <c r="J13" s="2297"/>
      <c r="AF13" s="1801">
        <v>11</v>
      </c>
    </row>
    <row customHeight="1" ht="24">
      <c r="E14" s="1827" t="s">
        <v>87</v>
      </c>
      <c r="F14" s="1830" t="s">
        <v>305</v>
      </c>
      <c r="G14" s="1830" t="s">
        <v>578</v>
      </c>
      <c r="H14" s="1830" t="s">
        <v>306</v>
      </c>
      <c r="I14" s="1830" t="s">
        <v>306</v>
      </c>
      <c r="J14" s="2297"/>
      <c r="AF14" s="1801">
        <v>23</v>
      </c>
    </row>
    <row customHeight="1" ht="19.95">
      <c r="D15" s="1808"/>
      <c r="E15" s="1800" t="s">
        <v>108</v>
      </c>
      <c r="F15" s="877" t="s">
        <v>787</v>
      </c>
      <c r="G15" s="1827" t="s">
        <v>564</v>
      </c>
      <c r="H15" s="727"/>
      <c r="I15" s="727"/>
      <c r="J15" s="459" t="s">
        <v>788</v>
      </c>
      <c r="K15" s="713" t="s">
        <v>642</v>
      </c>
      <c r="AF15" s="1801">
        <v>19</v>
      </c>
    </row>
    <row customHeight="1" ht="24">
      <c r="D16" s="1808"/>
      <c r="E16" s="1800" t="s">
        <v>109</v>
      </c>
      <c r="F16" s="1835" t="s">
        <v>789</v>
      </c>
      <c r="G16" s="1827" t="s">
        <v>564</v>
      </c>
      <c r="H16" s="728">
        <f>SUM(H17,H20:H27)</f>
        <v>0</v>
      </c>
      <c r="I16" s="728">
        <f>SUM(I17,I20:I27)</f>
        <v>0</v>
      </c>
      <c r="J16" s="459" t="s">
        <v>790</v>
      </c>
      <c r="K16" s="713" t="s">
        <v>642</v>
      </c>
      <c r="AF16" s="1801">
        <v>23</v>
      </c>
    </row>
    <row customHeight="1" ht="35.699999999999996">
      <c r="D17" s="1808"/>
      <c r="E17" s="1834" t="s">
        <v>720</v>
      </c>
      <c r="F17" s="1837" t="s">
        <v>791</v>
      </c>
      <c r="G17" s="1824" t="s">
        <v>564</v>
      </c>
      <c r="H17" s="727"/>
      <c r="I17" s="727"/>
      <c r="J17" s="459" t="s">
        <v>792</v>
      </c>
      <c r="K17" s="713"/>
      <c r="AF17" s="1801">
        <v>34</v>
      </c>
    </row>
    <row customHeight="1" ht="19.95">
      <c r="D18" s="1808"/>
      <c r="E18" s="1834" t="s">
        <v>723</v>
      </c>
      <c r="F18" s="1838" t="s">
        <v>793</v>
      </c>
      <c r="G18" s="1824" t="s">
        <v>564</v>
      </c>
      <c r="H18" s="727"/>
      <c r="I18" s="727"/>
      <c r="J18" s="459"/>
      <c r="K18" s="713"/>
      <c r="AF18" s="1801">
        <v>19</v>
      </c>
    </row>
    <row customHeight="1" ht="24">
      <c r="D19" s="1808"/>
      <c r="E19" s="1834" t="s">
        <v>726</v>
      </c>
      <c r="F19" s="1838" t="s">
        <v>794</v>
      </c>
      <c r="G19" s="1824" t="s">
        <v>564</v>
      </c>
      <c r="H19" s="727"/>
      <c r="I19" s="727"/>
      <c r="J19" s="459"/>
      <c r="K19" s="713"/>
      <c r="AF19" s="1801">
        <v>23</v>
      </c>
    </row>
    <row customHeight="1" ht="35.699999999999996">
      <c r="D20" s="1808"/>
      <c r="E20" s="1834" t="s">
        <v>310</v>
      </c>
      <c r="F20" s="1837" t="s">
        <v>795</v>
      </c>
      <c r="G20" s="1824" t="s">
        <v>564</v>
      </c>
      <c r="H20" s="727"/>
      <c r="I20" s="727"/>
      <c r="J20" s="459"/>
      <c r="K20" s="713"/>
      <c r="AF20" s="1801">
        <v>34</v>
      </c>
    </row>
    <row customHeight="1" ht="48.29999999999999">
      <c r="D21" s="1808"/>
      <c r="E21" s="1834" t="s">
        <v>313</v>
      </c>
      <c r="F21" s="1837" t="s">
        <v>796</v>
      </c>
      <c r="G21" s="1824" t="s">
        <v>564</v>
      </c>
      <c r="H21" s="727"/>
      <c r="I21" s="727"/>
      <c r="J21" s="459"/>
      <c r="K21" s="713"/>
      <c r="AF21" s="1801">
        <v>46</v>
      </c>
    </row>
    <row customHeight="1" ht="60">
      <c r="D22" s="1808"/>
      <c r="E22" s="1834" t="s">
        <v>740</v>
      </c>
      <c r="F22" s="1837" t="s">
        <v>797</v>
      </c>
      <c r="G22" s="1824" t="s">
        <v>564</v>
      </c>
      <c r="H22" s="727"/>
      <c r="I22" s="727"/>
      <c r="J22" s="459"/>
      <c r="K22" s="713"/>
      <c r="AF22" s="1801">
        <v>57</v>
      </c>
    </row>
    <row customHeight="1" ht="35.699999999999996">
      <c r="D23" s="1808"/>
      <c r="E23" s="1834" t="s">
        <v>747</v>
      </c>
      <c r="F23" s="1837" t="s">
        <v>798</v>
      </c>
      <c r="G23" s="1824" t="s">
        <v>564</v>
      </c>
      <c r="H23" s="727"/>
      <c r="I23" s="727"/>
      <c r="J23" s="459"/>
      <c r="K23" s="713"/>
      <c r="AF23" s="1801">
        <v>34</v>
      </c>
    </row>
    <row customHeight="1" ht="35.699999999999996">
      <c r="D24" s="1808"/>
      <c r="E24" s="1834" t="s">
        <v>749</v>
      </c>
      <c r="F24" s="1837" t="s">
        <v>799</v>
      </c>
      <c r="G24" s="1824" t="s">
        <v>564</v>
      </c>
      <c r="H24" s="727"/>
      <c r="I24" s="727"/>
      <c r="J24" s="459"/>
      <c r="K24" s="713"/>
      <c r="AF24" s="1801">
        <v>34</v>
      </c>
    </row>
    <row customHeight="1" ht="24">
      <c r="D25" s="1808"/>
      <c r="E25" s="1834" t="s">
        <v>751</v>
      </c>
      <c r="F25" s="1837" t="s">
        <v>800</v>
      </c>
      <c r="G25" s="1824" t="s">
        <v>564</v>
      </c>
      <c r="H25" s="727"/>
      <c r="I25" s="727"/>
      <c r="J25" s="459"/>
      <c r="K25" s="713"/>
      <c r="AF25" s="1801">
        <v>23</v>
      </c>
    </row>
    <row customHeight="1" ht="76.5">
      <c r="D26" s="1808"/>
      <c r="E26" s="1834" t="s">
        <v>753</v>
      </c>
      <c r="F26" s="1837" t="s">
        <v>801</v>
      </c>
      <c r="G26" s="1824" t="s">
        <v>564</v>
      </c>
      <c r="H26" s="727"/>
      <c r="I26" s="727"/>
      <c r="J26" s="459"/>
      <c r="K26" s="713"/>
      <c r="AF26" s="1801">
        <v>73</v>
      </c>
    </row>
    <row s="9666" customFormat="1" customHeight="1" ht="35.699999999999996">
      <c r="A27" s="1157"/>
      <c r="C27" s="1806"/>
      <c r="D27" s="1808"/>
      <c r="E27" s="1799" t="s">
        <v>757</v>
      </c>
      <c r="F27" s="1798" t="s">
        <v>802</v>
      </c>
      <c r="G27" s="1825" t="s">
        <v>564</v>
      </c>
      <c r="H27" s="749">
        <f>SUM(H28:H29)</f>
        <v>0</v>
      </c>
      <c r="I27" s="749">
        <f>SUM(I28:I29)</f>
        <v>0</v>
      </c>
      <c r="J27" s="459" t="s">
        <v>755</v>
      </c>
      <c r="K27" s="713"/>
      <c r="L27" s="1806"/>
      <c r="M27" s="1806"/>
      <c r="R27" s="1806"/>
      <c r="U27" s="714"/>
      <c r="AA27" s="1802"/>
      <c r="AB27" s="1802"/>
      <c r="AC27" s="1802"/>
      <c r="AD27" s="1802"/>
      <c r="AE27" s="1802"/>
      <c r="AF27" s="1330">
        <v>34</v>
      </c>
    </row>
    <row s="9667" customFormat="1" customHeight="1" ht="1.05">
      <c r="A28" s="1337"/>
      <c r="D28" s="718"/>
      <c r="E28" s="972" t="str">
        <f>E27&amp;".0"</f>
        <v>2.9.0</v>
      </c>
      <c r="F28" s="1161"/>
      <c r="G28" s="721"/>
      <c r="H28" s="1162"/>
      <c r="I28" s="1162"/>
      <c r="J28" s="1163"/>
      <c r="AF28" s="1806">
        <v>1</v>
      </c>
    </row>
    <row s="9666" customFormat="1" customHeight="1" ht="19.95">
      <c r="A29" s="1157"/>
      <c r="C29" s="1806"/>
      <c r="D29" s="1803"/>
      <c r="E29" s="740"/>
      <c r="F29" s="1836" t="s">
        <v>589</v>
      </c>
      <c r="G29" s="742"/>
      <c r="H29" s="743"/>
      <c r="I29" s="743"/>
      <c r="J29" s="471" t="s">
        <v>756</v>
      </c>
      <c r="K29" s="713"/>
      <c r="L29" s="1806"/>
      <c r="M29" s="1806"/>
      <c r="R29" s="1806"/>
      <c r="U29" s="714"/>
      <c r="AA29" s="1802"/>
      <c r="AB29" s="1802"/>
      <c r="AC29" s="1802"/>
      <c r="AD29" s="1802"/>
      <c r="AE29" s="1802"/>
      <c r="AF29" s="1330">
        <v>19</v>
      </c>
    </row>
    <row s="9666" customFormat="1" customHeight="1" ht="24">
      <c r="A30" s="1157"/>
      <c r="C30" s="1806"/>
      <c r="D30" s="1808"/>
      <c r="E30" s="1834" t="s">
        <v>89</v>
      </c>
      <c r="F30" s="1831" t="s">
        <v>803</v>
      </c>
      <c r="G30" s="1824" t="s">
        <v>564</v>
      </c>
      <c r="H30" s="727"/>
      <c r="I30" s="727"/>
      <c r="J30" s="459"/>
      <c r="K30" s="713"/>
      <c r="L30" s="1806"/>
      <c r="M30" s="1806"/>
      <c r="R30" s="1806"/>
      <c r="U30" s="714"/>
      <c r="AA30" s="1802"/>
      <c r="AB30" s="1802"/>
      <c r="AC30" s="1802"/>
      <c r="AD30" s="1802"/>
      <c r="AE30" s="1802"/>
      <c r="AF30" s="1330">
        <v>23</v>
      </c>
    </row>
    <row s="9666" customFormat="1" customHeight="1" ht="35.699999999999996">
      <c r="A31" s="1157"/>
      <c r="C31" s="1806"/>
      <c r="D31" s="745"/>
      <c r="E31" s="1834" t="s">
        <v>90</v>
      </c>
      <c r="F31" s="1831" t="s">
        <v>804</v>
      </c>
      <c r="G31" s="1824" t="s">
        <v>564</v>
      </c>
      <c r="H31" s="727"/>
      <c r="I31" s="727"/>
      <c r="J31" s="459" t="s">
        <v>805</v>
      </c>
      <c r="K31" s="713"/>
      <c r="L31" s="1806"/>
      <c r="M31" s="1806"/>
      <c r="R31" s="1806"/>
      <c r="U31" s="714"/>
      <c r="AA31" s="1802"/>
      <c r="AB31" s="1802"/>
      <c r="AC31" s="1802"/>
      <c r="AD31" s="1802"/>
      <c r="AE31" s="1802"/>
      <c r="AF31" s="1330">
        <v>34</v>
      </c>
    </row>
    <row s="9666" customFormat="1" customHeight="1" ht="24">
      <c r="A32" s="1157"/>
      <c r="C32" s="1806"/>
      <c r="D32" s="1808"/>
      <c r="E32" s="1834" t="s">
        <v>765</v>
      </c>
      <c r="F32" s="860" t="s">
        <v>769</v>
      </c>
      <c r="G32" s="1824" t="s">
        <v>564</v>
      </c>
      <c r="H32" s="727"/>
      <c r="I32" s="727"/>
      <c r="J32" s="459" t="s">
        <v>806</v>
      </c>
      <c r="K32" s="713"/>
      <c r="L32" s="1806"/>
      <c r="M32" s="1806"/>
      <c r="R32" s="1806"/>
      <c r="U32" s="714"/>
      <c r="AA32" s="1802"/>
      <c r="AB32" s="1802"/>
      <c r="AC32" s="1802"/>
      <c r="AD32" s="1802"/>
      <c r="AE32" s="1802"/>
      <c r="AF32" s="1330">
        <v>23</v>
      </c>
    </row>
    <row s="9666" customFormat="1" customHeight="1" ht="24">
      <c r="A33" s="1157"/>
      <c r="C33" s="1806"/>
      <c r="D33" s="1808"/>
      <c r="E33" s="1834" t="s">
        <v>807</v>
      </c>
      <c r="F33" s="860" t="s">
        <v>808</v>
      </c>
      <c r="G33" s="1824" t="s">
        <v>564</v>
      </c>
      <c r="H33" s="727"/>
      <c r="I33" s="727"/>
      <c r="J33" s="459" t="s">
        <v>809</v>
      </c>
      <c r="K33" s="713"/>
      <c r="L33" s="1806"/>
      <c r="M33" s="1806"/>
      <c r="R33" s="1806"/>
      <c r="U33" s="714"/>
      <c r="AA33" s="1802"/>
      <c r="AB33" s="1802"/>
      <c r="AC33" s="1802"/>
      <c r="AD33" s="1802"/>
      <c r="AE33" s="1802"/>
      <c r="AF33" s="1330">
        <v>23</v>
      </c>
    </row>
    <row s="9666" customFormat="1" customHeight="1" ht="24">
      <c r="A34" s="1157"/>
      <c r="C34" s="1806"/>
      <c r="D34" s="1808"/>
      <c r="E34" s="1834" t="s">
        <v>810</v>
      </c>
      <c r="F34" s="860" t="s">
        <v>775</v>
      </c>
      <c r="G34" s="1824" t="s">
        <v>564</v>
      </c>
      <c r="H34" s="727"/>
      <c r="I34" s="727"/>
      <c r="J34" s="459" t="s">
        <v>811</v>
      </c>
      <c r="K34" s="713"/>
      <c r="L34" s="1806"/>
      <c r="M34" s="1806"/>
      <c r="R34" s="1806"/>
      <c r="U34" s="714"/>
      <c r="AA34" s="1802"/>
      <c r="AB34" s="1802"/>
      <c r="AC34" s="1802"/>
      <c r="AD34" s="1802"/>
      <c r="AE34" s="1802"/>
      <c r="AF34" s="1330">
        <v>23</v>
      </c>
    </row>
    <row s="9666" customFormat="1" customHeight="1" ht="35.699999999999996">
      <c r="A35" s="1157"/>
      <c r="C35" s="1806" t="s">
        <v>600</v>
      </c>
      <c r="D35" s="1808"/>
      <c r="E35" s="1834" t="s">
        <v>110</v>
      </c>
      <c r="F35" s="1831" t="s">
        <v>641</v>
      </c>
      <c r="G35" s="1827" t="s">
        <v>309</v>
      </c>
      <c r="H35" s="571"/>
      <c r="I35" s="571"/>
      <c r="J35" s="459" t="s">
        <v>812</v>
      </c>
      <c r="K35" s="713"/>
      <c r="L35" s="1806"/>
      <c r="M35" s="1806"/>
      <c r="R35" s="1806"/>
      <c r="U35" s="714"/>
      <c r="AA35" s="1802"/>
      <c r="AB35" s="1802"/>
      <c r="AC35" s="1802"/>
      <c r="AD35" s="1802"/>
      <c r="AE35" s="1802"/>
      <c r="AF35" s="1330">
        <v>34</v>
      </c>
    </row>
    <row s="9666" customFormat="1" customHeight="1" ht="35.699999999999996">
      <c r="A36" s="1157"/>
      <c r="C36" s="1806"/>
      <c r="D36" s="1808"/>
      <c r="E36" s="1834" t="s">
        <v>91</v>
      </c>
      <c r="F36" s="1831" t="s">
        <v>813</v>
      </c>
      <c r="G36" s="1824" t="s">
        <v>780</v>
      </c>
      <c r="H36" s="715"/>
      <c r="I36" s="715"/>
      <c r="J36" s="459" t="s">
        <v>781</v>
      </c>
      <c r="K36" s="713"/>
      <c r="L36" s="1806"/>
      <c r="M36" s="1806"/>
      <c r="R36" s="1806"/>
      <c r="U36" s="714"/>
      <c r="AA36" s="1802"/>
      <c r="AB36" s="1802"/>
      <c r="AC36" s="1802"/>
      <c r="AD36" s="1802"/>
      <c r="AE36" s="1802"/>
      <c r="AF36" s="1330">
        <v>34</v>
      </c>
    </row>
    <row s="9666" customFormat="1" customHeight="1" ht="24">
      <c r="A37" s="1157"/>
      <c r="C37" s="1806"/>
      <c r="D37" s="1808"/>
      <c r="E37" s="1834" t="s">
        <v>92</v>
      </c>
      <c r="F37" s="1831" t="s">
        <v>814</v>
      </c>
      <c r="G37" s="1824" t="s">
        <v>783</v>
      </c>
      <c r="H37" s="715"/>
      <c r="I37" s="715"/>
      <c r="J37" s="459" t="s">
        <v>784</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815</v>
      </c>
      <c r="F39" s="2455" t="s">
        <v>816</v>
      </c>
      <c r="G39" s="2455"/>
      <c r="H39" s="539"/>
      <c r="I39" s="539"/>
      <c r="J39" s="539"/>
      <c r="AF39" s="1801">
        <v>26</v>
      </c>
    </row>
    <row s="10287" customFormat="1" customHeight="1" ht="39.75">
      <c r="A40" s="1157"/>
      <c r="B40" s="1806"/>
      <c r="C40" s="1806"/>
      <c r="D40" s="521"/>
      <c r="F40" s="2455" t="s">
        <v>817</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10287"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10287"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10287"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10287"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10287"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10287"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10287"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10287"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10287"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10287"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10287"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10287"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10287"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10287"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10287"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10287"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10287"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10287"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10287"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10287"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10287"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10287"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10287"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10287"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10287"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10287"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10287"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10287"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10287"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10287"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10287"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10287"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10287"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10287"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10287"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10287"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10287"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10287"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10287"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10287"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10287"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10287"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10287"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10287"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10287"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10287"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10287"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10287"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10287"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10287"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10287"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10287"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10287"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10287"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10287"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10287"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10287"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10287"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10287"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10287"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10287"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10287"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10287"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10287"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10287"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10287"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10287"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10287"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10287"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10287"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10287"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10287"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10287"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10287"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10287"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10287"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10287"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10287"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10287"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10287"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10287"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10287"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10287"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10287"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10287"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10287"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10287"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10287"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10287"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10287"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10287"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10287"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10287"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028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028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0287"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028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028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028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028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028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028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028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028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028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028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028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028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028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028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028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028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028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028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028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028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028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028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028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028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028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028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028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028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028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028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028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028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028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028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028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028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028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028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028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028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028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028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028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028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028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028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028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028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028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028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028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028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028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028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028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028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028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028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028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81</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62BC-5CF8-0ADC-E25B-ED759DE18CF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402" width="9.140625" hidden="1" customWidth="1"/>
    <col min="2" max="2" style="9667" width="3.57421875" hidden="1" customWidth="1"/>
    <col min="3" max="3" style="9589" width="3.00390625" customWidth="1"/>
    <col min="4" max="4" style="9589" width="7.00390625" customWidth="1"/>
    <col min="5" max="5" style="9589" width="69.00390625" customWidth="1"/>
    <col min="6" max="6" style="9589" width="10.00390625" customWidth="1"/>
    <col min="7" max="8" style="9589" width="44.00390625" hidden="1" customWidth="1"/>
    <col min="9" max="9" style="9589" width="44.00390625" customWidth="1"/>
    <col min="10" max="10" style="9589" width="43.00390625" customWidth="1"/>
    <col min="11" max="11" style="9589" width="73.00390625" customWidth="1"/>
    <col min="12" max="12" style="9589" width="3.00390625" customWidth="1"/>
    <col min="13" max="23" style="9589" width="10.00390625" customWidth="1"/>
    <col min="24" max="24" style="9589" width="10.57421875" hidden="1"/>
  </cols>
  <sheetData>
    <row s="9666"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9589" customFormat="1" customHeight="1" ht="21">
      <c r="A4" s="1121"/>
      <c r="B4" s="681"/>
      <c r="D4" s="2384" t="str">
        <f>IF(org=0,"Не определено",org)</f>
        <v>МУП "Водоканал"</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116</v>
      </c>
      <c r="J6" s="1192"/>
      <c r="X6" s="675">
        <v>1</v>
      </c>
    </row>
    <row customHeight="1" ht="11.549999999999999">
      <c r="D7" s="881"/>
      <c r="E7" s="2537" t="s">
        <v>104</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576</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577</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9589" customFormat="1" customHeight="1" ht="11.549999999999999">
      <c r="A10" s="1191"/>
      <c r="B10" s="681"/>
      <c r="D10" s="2271" t="s">
        <v>303</v>
      </c>
      <c r="E10" s="2272"/>
      <c r="F10" s="2272"/>
      <c r="G10" s="2272"/>
      <c r="H10" s="2272"/>
      <c r="I10" s="2272"/>
      <c r="J10" s="2273"/>
      <c r="K10" s="2369"/>
      <c r="L10" s="679"/>
      <c r="X10" s="928">
        <v>11</v>
      </c>
    </row>
    <row s="9589" customFormat="1" customHeight="1" ht="24">
      <c r="A11" s="2555"/>
      <c r="B11" s="2555"/>
      <c r="C11" s="827"/>
      <c r="D11" s="873" t="s">
        <v>87</v>
      </c>
      <c r="E11" s="875" t="s">
        <v>818</v>
      </c>
      <c r="F11" s="875" t="s">
        <v>578</v>
      </c>
      <c r="G11" s="635" t="s">
        <v>306</v>
      </c>
      <c r="H11" s="635" t="s">
        <v>393</v>
      </c>
      <c r="I11" s="977" t="s">
        <v>306</v>
      </c>
      <c r="J11" s="978" t="s">
        <v>393</v>
      </c>
      <c r="K11" s="2402"/>
      <c r="L11" s="828"/>
      <c r="X11" s="679">
        <v>23</v>
      </c>
    </row>
    <row s="9667" customFormat="1" customHeight="1" ht="10.5">
      <c r="A12" s="1122"/>
      <c r="D12" s="1195" t="s">
        <v>108</v>
      </c>
      <c r="E12" s="1195" t="s">
        <v>109</v>
      </c>
      <c r="F12" s="1195" t="s">
        <v>89</v>
      </c>
      <c r="G12" s="1196" t="str">
        <f>G1&amp;".1"</f>
        <v>4.1</v>
      </c>
      <c r="H12" s="1196" t="str">
        <f>G1&amp;".2"</f>
        <v>4.2</v>
      </c>
      <c r="I12" s="1196" t="str">
        <f>I1&amp;".1"</f>
        <v>4.1</v>
      </c>
      <c r="J12" s="1196" t="str">
        <f>I1&amp;".2"</f>
        <v>4.2</v>
      </c>
      <c r="K12" s="1196"/>
      <c r="X12" s="681">
        <v>10</v>
      </c>
    </row>
    <row customHeight="1" ht="22.5" hidden="1">
      <c r="A13" s="2562" t="s">
        <v>819</v>
      </c>
      <c r="D13" s="1123" t="s">
        <v>108</v>
      </c>
      <c r="E13" s="449" t="s">
        <v>820</v>
      </c>
      <c r="F13" s="830" t="s">
        <v>821</v>
      </c>
      <c r="G13" s="727"/>
      <c r="H13" s="831"/>
      <c r="I13" s="727"/>
      <c r="J13" s="831"/>
      <c r="K13" s="459" t="s">
        <v>822</v>
      </c>
      <c r="L13" s="890"/>
      <c r="X13" s="675">
        <v>0</v>
      </c>
    </row>
    <row customHeight="1" ht="22.5" hidden="1">
      <c r="A14" s="2562"/>
      <c r="D14" s="709" t="s">
        <v>109</v>
      </c>
      <c r="E14" s="449" t="s">
        <v>823</v>
      </c>
      <c r="F14" s="830" t="s">
        <v>824</v>
      </c>
      <c r="G14" s="727"/>
      <c r="H14" s="832"/>
      <c r="I14" s="727"/>
      <c r="J14" s="832"/>
      <c r="K14" s="459" t="s">
        <v>825</v>
      </c>
      <c r="L14" s="890"/>
      <c r="X14" s="675">
        <v>0</v>
      </c>
    </row>
    <row s="9589" customFormat="1" customHeight="1" ht="78.75" hidden="1">
      <c r="A15" s="2562"/>
      <c r="B15" s="681"/>
      <c r="D15" s="1123" t="s">
        <v>89</v>
      </c>
      <c r="E15" s="877" t="s">
        <v>826</v>
      </c>
      <c r="F15" s="1120" t="s">
        <v>309</v>
      </c>
      <c r="G15" s="1120" t="s">
        <v>309</v>
      </c>
      <c r="H15" s="276"/>
      <c r="I15" s="1120" t="s">
        <v>309</v>
      </c>
      <c r="J15" s="276"/>
      <c r="K15" s="459" t="s">
        <v>827</v>
      </c>
      <c r="L15" s="890"/>
      <c r="X15" s="928">
        <v>0</v>
      </c>
    </row>
    <row s="9589" customFormat="1" customHeight="1" ht="22.5" hidden="1">
      <c r="A16" s="2562"/>
      <c r="B16" s="681"/>
      <c r="D16" s="1123" t="s">
        <v>327</v>
      </c>
      <c r="E16" s="1124" t="s">
        <v>828</v>
      </c>
      <c r="F16" s="1120" t="s">
        <v>829</v>
      </c>
      <c r="G16" s="987"/>
      <c r="H16" s="276"/>
      <c r="I16" s="987"/>
      <c r="J16" s="276"/>
      <c r="K16" s="459"/>
      <c r="L16" s="890"/>
      <c r="X16" s="928">
        <v>0</v>
      </c>
    </row>
    <row s="9589" customFormat="1" customHeight="1" ht="22.5" hidden="1">
      <c r="A17" s="2562"/>
      <c r="B17" s="681"/>
      <c r="D17" s="1123" t="s">
        <v>335</v>
      </c>
      <c r="E17" s="1124" t="s">
        <v>830</v>
      </c>
      <c r="F17" s="1120" t="s">
        <v>831</v>
      </c>
      <c r="G17" s="987"/>
      <c r="H17" s="276"/>
      <c r="I17" s="987"/>
      <c r="J17" s="276"/>
      <c r="K17" s="459"/>
      <c r="L17" s="890"/>
      <c r="X17" s="928">
        <v>0</v>
      </c>
    </row>
    <row s="9589" customFormat="1" customHeight="1" ht="33.75" hidden="1">
      <c r="A18" s="2562"/>
      <c r="B18" s="681"/>
      <c r="D18" s="1123" t="s">
        <v>337</v>
      </c>
      <c r="E18" s="1124" t="s">
        <v>832</v>
      </c>
      <c r="F18" s="1120" t="s">
        <v>583</v>
      </c>
      <c r="G18" s="850"/>
      <c r="H18" s="276"/>
      <c r="I18" s="850"/>
      <c r="J18" s="276"/>
      <c r="K18" s="459"/>
      <c r="L18" s="890"/>
      <c r="X18" s="928">
        <v>0</v>
      </c>
    </row>
    <row customHeight="1" ht="101.25" hidden="1">
      <c r="A19" s="2562"/>
      <c r="D19" s="1123" t="s">
        <v>90</v>
      </c>
      <c r="E19" s="449" t="s">
        <v>833</v>
      </c>
      <c r="F19" s="830" t="s">
        <v>558</v>
      </c>
      <c r="G19" s="833"/>
      <c r="H19" s="832"/>
      <c r="I19" s="1125"/>
      <c r="J19" s="832"/>
      <c r="K19" s="459" t="s">
        <v>834</v>
      </c>
      <c r="L19" s="890"/>
      <c r="X19" s="675">
        <v>0</v>
      </c>
    </row>
    <row s="9589" customFormat="1" customHeight="1" ht="18.75" hidden="1">
      <c r="A20" s="2562"/>
      <c r="C20" s="1126"/>
      <c r="D20" s="1123" t="s">
        <v>765</v>
      </c>
      <c r="E20" s="1124" t="s">
        <v>835</v>
      </c>
      <c r="F20" s="1120" t="s">
        <v>309</v>
      </c>
      <c r="G20" s="1120" t="s">
        <v>309</v>
      </c>
      <c r="H20" s="1119" t="s">
        <v>309</v>
      </c>
      <c r="I20" s="1120" t="s">
        <v>309</v>
      </c>
      <c r="J20" s="1119" t="s">
        <v>309</v>
      </c>
      <c r="K20" s="1118"/>
      <c r="L20" s="890"/>
      <c r="W20" s="845"/>
      <c r="X20" s="928">
        <v>0</v>
      </c>
    </row>
    <row s="9589" customFormat="1" customHeight="1" ht="33.75" hidden="1">
      <c r="A21" s="2562"/>
      <c r="C21" s="1126"/>
      <c r="D21" s="1123" t="s">
        <v>768</v>
      </c>
      <c r="E21" s="746" t="s">
        <v>836</v>
      </c>
      <c r="F21" s="1120" t="s">
        <v>837</v>
      </c>
      <c r="G21" s="850"/>
      <c r="H21" s="276"/>
      <c r="I21" s="850"/>
      <c r="J21" s="276"/>
      <c r="K21" s="1118"/>
      <c r="L21" s="890"/>
      <c r="W21" s="845"/>
      <c r="X21" s="928">
        <v>0</v>
      </c>
    </row>
    <row s="9589" customFormat="1" customHeight="1" ht="33.75" hidden="1">
      <c r="A22" s="2562"/>
      <c r="C22" s="1126"/>
      <c r="D22" s="1123" t="s">
        <v>771</v>
      </c>
      <c r="E22" s="746" t="s">
        <v>838</v>
      </c>
      <c r="F22" s="1120" t="s">
        <v>839</v>
      </c>
      <c r="G22" s="850"/>
      <c r="H22" s="276"/>
      <c r="I22" s="850"/>
      <c r="J22" s="276"/>
      <c r="K22" s="1118"/>
      <c r="L22" s="890"/>
      <c r="W22" s="845"/>
      <c r="X22" s="928">
        <v>0</v>
      </c>
    </row>
    <row s="9589" customFormat="1" customHeight="1" ht="22.5" hidden="1">
      <c r="A23" s="2562"/>
      <c r="C23" s="1126"/>
      <c r="D23" s="1123" t="s">
        <v>807</v>
      </c>
      <c r="E23" s="1124" t="s">
        <v>840</v>
      </c>
      <c r="F23" s="1120" t="s">
        <v>309</v>
      </c>
      <c r="G23" s="1120" t="s">
        <v>309</v>
      </c>
      <c r="H23" s="1119" t="s">
        <v>309</v>
      </c>
      <c r="I23" s="1120" t="s">
        <v>309</v>
      </c>
      <c r="J23" s="1119" t="s">
        <v>309</v>
      </c>
      <c r="K23" s="1118"/>
      <c r="L23" s="890"/>
      <c r="W23" s="845"/>
      <c r="X23" s="928">
        <v>0</v>
      </c>
    </row>
    <row s="9589" customFormat="1" customHeight="1" ht="22.5" hidden="1">
      <c r="A24" s="2562"/>
      <c r="C24" s="1126"/>
      <c r="D24" s="1123" t="s">
        <v>841</v>
      </c>
      <c r="E24" s="746" t="s">
        <v>842</v>
      </c>
      <c r="F24" s="1120" t="s">
        <v>843</v>
      </c>
      <c r="G24" s="850"/>
      <c r="H24" s="856"/>
      <c r="I24" s="850"/>
      <c r="J24" s="856"/>
      <c r="K24" s="1118"/>
      <c r="L24" s="890"/>
      <c r="W24" s="845"/>
      <c r="X24" s="928">
        <v>0</v>
      </c>
    </row>
    <row s="9589" customFormat="1" customHeight="1" ht="22.5" hidden="1">
      <c r="A25" s="2562"/>
      <c r="C25" s="1126"/>
      <c r="D25" s="1123" t="s">
        <v>844</v>
      </c>
      <c r="E25" s="746" t="s">
        <v>845</v>
      </c>
      <c r="F25" s="1120" t="s">
        <v>309</v>
      </c>
      <c r="G25" s="1120" t="s">
        <v>309</v>
      </c>
      <c r="H25" s="1119" t="s">
        <v>309</v>
      </c>
      <c r="I25" s="1120" t="s">
        <v>309</v>
      </c>
      <c r="J25" s="1119" t="s">
        <v>309</v>
      </c>
      <c r="K25" s="1118"/>
      <c r="L25" s="890"/>
      <c r="W25" s="845"/>
      <c r="X25" s="928">
        <v>0</v>
      </c>
    </row>
    <row s="9589" customFormat="1" customHeight="1" ht="18.75" hidden="1">
      <c r="A26" s="2562"/>
      <c r="C26" s="1126"/>
      <c r="D26" s="1123" t="s">
        <v>846</v>
      </c>
      <c r="E26" s="723" t="s">
        <v>847</v>
      </c>
      <c r="F26" s="1120" t="s">
        <v>848</v>
      </c>
      <c r="G26" s="850"/>
      <c r="H26" s="856"/>
      <c r="I26" s="850"/>
      <c r="J26" s="856"/>
      <c r="K26" s="1118"/>
      <c r="L26" s="890"/>
      <c r="W26" s="845"/>
      <c r="X26" s="928">
        <v>0</v>
      </c>
    </row>
    <row s="9589" customFormat="1" customHeight="1" ht="18.75" hidden="1">
      <c r="A27" s="2562"/>
      <c r="C27" s="1126"/>
      <c r="D27" s="1123" t="s">
        <v>849</v>
      </c>
      <c r="E27" s="723" t="s">
        <v>850</v>
      </c>
      <c r="F27" s="1120" t="s">
        <v>851</v>
      </c>
      <c r="G27" s="850"/>
      <c r="H27" s="856"/>
      <c r="I27" s="850"/>
      <c r="J27" s="856"/>
      <c r="K27" s="1118"/>
      <c r="L27" s="890"/>
      <c r="W27" s="845"/>
      <c r="X27" s="928">
        <v>0</v>
      </c>
    </row>
    <row s="9589" customFormat="1" customHeight="1" ht="18.75" hidden="1">
      <c r="A28" s="2562"/>
      <c r="C28" s="1126"/>
      <c r="D28" s="1123" t="s">
        <v>852</v>
      </c>
      <c r="E28" s="746" t="s">
        <v>853</v>
      </c>
      <c r="F28" s="1120" t="s">
        <v>309</v>
      </c>
      <c r="G28" s="1120" t="s">
        <v>309</v>
      </c>
      <c r="H28" s="1119" t="s">
        <v>309</v>
      </c>
      <c r="I28" s="1120" t="s">
        <v>309</v>
      </c>
      <c r="J28" s="1119" t="s">
        <v>309</v>
      </c>
      <c r="K28" s="1118"/>
      <c r="L28" s="890"/>
      <c r="W28" s="845"/>
      <c r="X28" s="928">
        <v>0</v>
      </c>
    </row>
    <row s="9589" customFormat="1" customHeight="1" ht="18.75" hidden="1">
      <c r="A29" s="2562"/>
      <c r="C29" s="1126"/>
      <c r="D29" s="1123" t="s">
        <v>854</v>
      </c>
      <c r="E29" s="723" t="s">
        <v>847</v>
      </c>
      <c r="F29" s="1120" t="s">
        <v>855</v>
      </c>
      <c r="G29" s="850"/>
      <c r="H29" s="856"/>
      <c r="I29" s="850"/>
      <c r="J29" s="856"/>
      <c r="K29" s="1118"/>
      <c r="L29" s="890"/>
      <c r="W29" s="845"/>
      <c r="X29" s="928">
        <v>0</v>
      </c>
    </row>
    <row s="9589" customFormat="1" customHeight="1" ht="18.75" hidden="1">
      <c r="A30" s="2562"/>
      <c r="C30" s="1126"/>
      <c r="D30" s="1123" t="s">
        <v>856</v>
      </c>
      <c r="E30" s="723" t="s">
        <v>857</v>
      </c>
      <c r="F30" s="1120" t="s">
        <v>858</v>
      </c>
      <c r="G30" s="850"/>
      <c r="H30" s="856"/>
      <c r="I30" s="850"/>
      <c r="J30" s="856"/>
      <c r="K30" s="1118"/>
      <c r="L30" s="890"/>
      <c r="W30" s="845"/>
      <c r="X30" s="928">
        <v>0</v>
      </c>
    </row>
    <row customHeight="1" ht="126.75" hidden="1">
      <c r="A31" s="2562"/>
      <c r="D31" s="1123" t="s">
        <v>110</v>
      </c>
      <c r="E31" s="449" t="s">
        <v>859</v>
      </c>
      <c r="F31" s="830" t="s">
        <v>570</v>
      </c>
      <c r="G31" s="727"/>
      <c r="H31" s="832"/>
      <c r="I31" s="727"/>
      <c r="J31" s="832"/>
      <c r="K31" s="459" t="s">
        <v>860</v>
      </c>
      <c r="L31" s="890"/>
      <c r="X31" s="675">
        <v>0</v>
      </c>
    </row>
    <row customHeight="1" ht="56.25" hidden="1">
      <c r="A32" s="2562"/>
      <c r="D32" s="1123" t="s">
        <v>91</v>
      </c>
      <c r="E32" s="449" t="s">
        <v>861</v>
      </c>
      <c r="F32" s="709" t="s">
        <v>831</v>
      </c>
      <c r="G32" s="727"/>
      <c r="H32" s="832"/>
      <c r="I32" s="727"/>
      <c r="J32" s="832"/>
      <c r="K32" s="459" t="s">
        <v>862</v>
      </c>
      <c r="L32" s="890"/>
      <c r="X32" s="675">
        <v>0</v>
      </c>
    </row>
    <row customHeight="1" ht="11.25" hidden="1">
      <c r="A33" s="2562"/>
      <c r="E33" s="834"/>
      <c r="F33" s="351"/>
      <c r="G33" s="351"/>
      <c r="H33" s="351"/>
      <c r="I33" s="351"/>
      <c r="J33" s="351"/>
      <c r="K33" s="351"/>
      <c r="X33" s="675">
        <v>0</v>
      </c>
    </row>
    <row customHeight="1" ht="12.75" hidden="1">
      <c r="A34" s="2562"/>
      <c r="D34" s="235">
        <v>1</v>
      </c>
      <c r="E34" s="505" t="s">
        <v>863</v>
      </c>
      <c r="X34" s="675">
        <v>0</v>
      </c>
    </row>
    <row customHeight="1" ht="11.25" hidden="1">
      <c r="A35" s="2562"/>
      <c r="D35" s="539"/>
      <c r="E35" s="505" t="s">
        <v>864</v>
      </c>
      <c r="X35" s="675">
        <v>0</v>
      </c>
    </row>
    <row s="9589" customFormat="1" customHeight="1" ht="11.549999999999999">
      <c r="A36" s="1203"/>
      <c r="B36" s="688"/>
      <c r="D36" s="1204"/>
      <c r="E36" s="1205"/>
      <c r="X36" s="679">
        <v>11</v>
      </c>
    </row>
    <row s="9589" customFormat="1" customHeight="1" ht="22.5">
      <c r="A37" s="2562" t="s">
        <v>865</v>
      </c>
      <c r="B37" s="681"/>
      <c r="D37" s="1123">
        <v>1</v>
      </c>
      <c r="E37" s="877" t="s">
        <v>866</v>
      </c>
      <c r="F37" s="830" t="s">
        <v>821</v>
      </c>
      <c r="G37" s="727"/>
      <c r="H37" s="689"/>
      <c r="I37" s="727"/>
      <c r="J37" s="689"/>
      <c r="K37" s="459" t="s">
        <v>867</v>
      </c>
      <c r="X37" s="928">
        <v>0</v>
      </c>
    </row>
    <row s="9589" customFormat="1" customHeight="1" ht="22.5">
      <c r="A38" s="2562"/>
      <c r="B38" s="681"/>
      <c r="D38" s="839" t="s">
        <v>109</v>
      </c>
      <c r="E38" s="1202" t="s">
        <v>868</v>
      </c>
      <c r="F38" s="1206" t="s">
        <v>558</v>
      </c>
      <c r="G38" s="1206" t="s">
        <v>558</v>
      </c>
      <c r="H38" s="1200"/>
      <c r="I38" s="1206" t="s">
        <v>558</v>
      </c>
      <c r="J38" s="1200"/>
      <c r="K38" s="1201"/>
      <c r="X38" s="928">
        <v>0</v>
      </c>
    </row>
    <row s="9589" customFormat="1" customHeight="1" ht="33.75">
      <c r="A39" s="2562"/>
      <c r="B39" s="681"/>
      <c r="D39" s="835" t="s">
        <v>723</v>
      </c>
      <c r="E39" s="893" t="s">
        <v>869</v>
      </c>
      <c r="F39" s="830" t="s">
        <v>870</v>
      </c>
      <c r="G39" s="838"/>
      <c r="H39" s="1193"/>
      <c r="I39" s="838"/>
      <c r="J39" s="1193"/>
      <c r="K39" s="459" t="s">
        <v>871</v>
      </c>
      <c r="X39" s="928">
        <v>0</v>
      </c>
    </row>
    <row s="9589" customFormat="1" customHeight="1" ht="33.75">
      <c r="A40" s="2562"/>
      <c r="B40" s="681"/>
      <c r="D40" s="835" t="s">
        <v>726</v>
      </c>
      <c r="E40" s="893" t="s">
        <v>872</v>
      </c>
      <c r="F40" s="1197" t="s">
        <v>873</v>
      </c>
      <c r="G40" s="911"/>
      <c r="H40" s="1193"/>
      <c r="I40" s="911"/>
      <c r="J40" s="1193"/>
      <c r="K40" s="459" t="s">
        <v>874</v>
      </c>
      <c r="X40" s="928">
        <v>0</v>
      </c>
    </row>
    <row s="9589" customFormat="1" customHeight="1" ht="22.5">
      <c r="A41" s="2562"/>
      <c r="B41" s="681"/>
      <c r="D41" s="835" t="s">
        <v>89</v>
      </c>
      <c r="E41" s="892" t="s">
        <v>875</v>
      </c>
      <c r="F41" s="830" t="s">
        <v>558</v>
      </c>
      <c r="G41" s="830" t="s">
        <v>558</v>
      </c>
      <c r="H41" s="1194"/>
      <c r="I41" s="830" t="s">
        <v>558</v>
      </c>
      <c r="J41" s="1194"/>
      <c r="K41" s="472"/>
      <c r="X41" s="928">
        <v>0</v>
      </c>
    </row>
    <row s="9589" customFormat="1" customHeight="1" ht="45">
      <c r="A42" s="2562"/>
      <c r="B42" s="681"/>
      <c r="D42" s="835" t="s">
        <v>327</v>
      </c>
      <c r="E42" s="893" t="s">
        <v>876</v>
      </c>
      <c r="F42" s="830" t="s">
        <v>570</v>
      </c>
      <c r="G42" s="727"/>
      <c r="H42" s="1194"/>
      <c r="I42" s="727"/>
      <c r="J42" s="1194"/>
      <c r="K42" s="472" t="s">
        <v>877</v>
      </c>
      <c r="X42" s="928">
        <v>0</v>
      </c>
    </row>
    <row s="9589" customFormat="1" customHeight="1" ht="45">
      <c r="A43" s="2562"/>
      <c r="B43" s="681"/>
      <c r="D43" s="835" t="s">
        <v>335</v>
      </c>
      <c r="E43" s="837" t="s">
        <v>878</v>
      </c>
      <c r="F43" s="1198" t="s">
        <v>570</v>
      </c>
      <c r="G43" s="912"/>
      <c r="H43" s="1193"/>
      <c r="I43" s="912"/>
      <c r="J43" s="1193"/>
      <c r="K43" s="472" t="s">
        <v>879</v>
      </c>
      <c r="X43" s="928">
        <v>0</v>
      </c>
    </row>
    <row s="9589" customFormat="1" customHeight="1" ht="11.25">
      <c r="A44" s="2562"/>
      <c r="B44" s="681"/>
      <c r="D44" s="835" t="s">
        <v>90</v>
      </c>
      <c r="E44" s="836" t="s">
        <v>880</v>
      </c>
      <c r="F44" s="830" t="s">
        <v>870</v>
      </c>
      <c r="G44" s="838"/>
      <c r="H44" s="1193"/>
      <c r="I44" s="838"/>
      <c r="J44" s="1193"/>
      <c r="K44" s="459"/>
      <c r="X44" s="928">
        <v>0</v>
      </c>
    </row>
    <row s="9589" customFormat="1" customHeight="1" ht="11.25">
      <c r="A45" s="2562"/>
      <c r="B45" s="681"/>
      <c r="D45" s="835" t="s">
        <v>765</v>
      </c>
      <c r="E45" s="837" t="s">
        <v>881</v>
      </c>
      <c r="F45" s="830" t="s">
        <v>870</v>
      </c>
      <c r="G45" s="838"/>
      <c r="H45" s="1193"/>
      <c r="I45" s="838"/>
      <c r="J45" s="1193"/>
      <c r="K45" s="459"/>
      <c r="X45" s="928">
        <v>0</v>
      </c>
    </row>
    <row s="9589" customFormat="1" customHeight="1" ht="11.25">
      <c r="A46" s="2562"/>
      <c r="B46" s="681"/>
      <c r="D46" s="835" t="s">
        <v>807</v>
      </c>
      <c r="E46" s="837" t="s">
        <v>882</v>
      </c>
      <c r="F46" s="830" t="s">
        <v>870</v>
      </c>
      <c r="G46" s="838"/>
      <c r="H46" s="1193"/>
      <c r="I46" s="838"/>
      <c r="J46" s="1193"/>
      <c r="K46" s="459"/>
      <c r="X46" s="928">
        <v>0</v>
      </c>
    </row>
    <row s="9589" customFormat="1" customHeight="1" ht="11.25">
      <c r="A47" s="2562"/>
      <c r="B47" s="681"/>
      <c r="D47" s="835" t="s">
        <v>810</v>
      </c>
      <c r="E47" s="837" t="s">
        <v>883</v>
      </c>
      <c r="F47" s="830" t="s">
        <v>870</v>
      </c>
      <c r="G47" s="838"/>
      <c r="H47" s="1193"/>
      <c r="I47" s="838"/>
      <c r="J47" s="1193"/>
      <c r="K47" s="459"/>
      <c r="X47" s="928">
        <v>0</v>
      </c>
    </row>
    <row s="9589" customFormat="1" customHeight="1" ht="11.25">
      <c r="A48" s="2562"/>
      <c r="B48" s="681"/>
      <c r="D48" s="835" t="s">
        <v>884</v>
      </c>
      <c r="E48" s="841" t="s">
        <v>885</v>
      </c>
      <c r="F48" s="830" t="s">
        <v>870</v>
      </c>
      <c r="G48" s="838"/>
      <c r="H48" s="1193"/>
      <c r="I48" s="838"/>
      <c r="J48" s="1193"/>
      <c r="K48" s="459"/>
      <c r="X48" s="928">
        <v>0</v>
      </c>
    </row>
    <row s="9589" customFormat="1" customHeight="1" ht="11.25">
      <c r="A49" s="2562"/>
      <c r="B49" s="681"/>
      <c r="D49" s="835" t="s">
        <v>886</v>
      </c>
      <c r="E49" s="841" t="s">
        <v>887</v>
      </c>
      <c r="F49" s="830" t="s">
        <v>870</v>
      </c>
      <c r="G49" s="838"/>
      <c r="H49" s="1193"/>
      <c r="I49" s="838"/>
      <c r="J49" s="1193"/>
      <c r="K49" s="459"/>
      <c r="X49" s="928">
        <v>0</v>
      </c>
    </row>
    <row s="9589" customFormat="1" customHeight="1" ht="11.25">
      <c r="A50" s="2562"/>
      <c r="B50" s="681"/>
      <c r="D50" s="835" t="s">
        <v>888</v>
      </c>
      <c r="E50" s="837" t="s">
        <v>889</v>
      </c>
      <c r="F50" s="830" t="s">
        <v>870</v>
      </c>
      <c r="G50" s="838"/>
      <c r="H50" s="1193"/>
      <c r="I50" s="838"/>
      <c r="J50" s="1193"/>
      <c r="K50" s="459"/>
      <c r="X50" s="928">
        <v>0</v>
      </c>
    </row>
    <row s="9589" customFormat="1" customHeight="1" ht="11.25">
      <c r="A51" s="2562"/>
      <c r="B51" s="681"/>
      <c r="D51" s="835" t="s">
        <v>890</v>
      </c>
      <c r="E51" s="837" t="s">
        <v>891</v>
      </c>
      <c r="F51" s="830" t="s">
        <v>870</v>
      </c>
      <c r="G51" s="838"/>
      <c r="H51" s="1193"/>
      <c r="I51" s="838"/>
      <c r="J51" s="1193"/>
      <c r="K51" s="459"/>
      <c r="X51" s="928">
        <v>0</v>
      </c>
    </row>
    <row s="9589" customFormat="1" customHeight="1" ht="45">
      <c r="A52" s="2562"/>
      <c r="B52" s="681"/>
      <c r="D52" s="835" t="s">
        <v>110</v>
      </c>
      <c r="E52" s="836" t="s">
        <v>892</v>
      </c>
      <c r="F52" s="830" t="s">
        <v>870</v>
      </c>
      <c r="G52" s="838"/>
      <c r="H52" s="1193"/>
      <c r="I52" s="838"/>
      <c r="J52" s="1193"/>
      <c r="K52" s="459"/>
      <c r="X52" s="928">
        <v>0</v>
      </c>
    </row>
    <row s="9589" customFormat="1" customHeight="1" ht="11.25">
      <c r="A53" s="2562"/>
      <c r="B53" s="681"/>
      <c r="D53" s="835" t="s">
        <v>316</v>
      </c>
      <c r="E53" s="837" t="s">
        <v>881</v>
      </c>
      <c r="F53" s="830" t="s">
        <v>870</v>
      </c>
      <c r="G53" s="838"/>
      <c r="H53" s="1193"/>
      <c r="I53" s="838"/>
      <c r="J53" s="1193"/>
      <c r="K53" s="459"/>
      <c r="X53" s="928">
        <v>0</v>
      </c>
    </row>
    <row s="9589" customFormat="1" customHeight="1" ht="11.25">
      <c r="A54" s="2562"/>
      <c r="B54" s="681"/>
      <c r="D54" s="835" t="s">
        <v>893</v>
      </c>
      <c r="E54" s="837" t="s">
        <v>882</v>
      </c>
      <c r="F54" s="830" t="s">
        <v>870</v>
      </c>
      <c r="G54" s="838"/>
      <c r="H54" s="1193"/>
      <c r="I54" s="838"/>
      <c r="J54" s="1193"/>
      <c r="K54" s="459"/>
      <c r="X54" s="928">
        <v>0</v>
      </c>
    </row>
    <row s="9589" customFormat="1" customHeight="1" ht="11.25">
      <c r="A55" s="2562"/>
      <c r="B55" s="681"/>
      <c r="D55" s="835" t="s">
        <v>894</v>
      </c>
      <c r="E55" s="837" t="s">
        <v>883</v>
      </c>
      <c r="F55" s="830" t="s">
        <v>870</v>
      </c>
      <c r="G55" s="838"/>
      <c r="H55" s="1193"/>
      <c r="I55" s="838"/>
      <c r="J55" s="1193"/>
      <c r="K55" s="459"/>
      <c r="X55" s="928">
        <v>0</v>
      </c>
    </row>
    <row s="9589" customFormat="1" customHeight="1" ht="11.25">
      <c r="A56" s="2562"/>
      <c r="B56" s="681"/>
      <c r="D56" s="835" t="s">
        <v>895</v>
      </c>
      <c r="E56" s="841" t="s">
        <v>885</v>
      </c>
      <c r="F56" s="830" t="s">
        <v>870</v>
      </c>
      <c r="G56" s="838"/>
      <c r="H56" s="1193"/>
      <c r="I56" s="838"/>
      <c r="J56" s="1193"/>
      <c r="K56" s="459"/>
      <c r="X56" s="928">
        <v>0</v>
      </c>
    </row>
    <row s="9589" customFormat="1" customHeight="1" ht="11.25">
      <c r="A57" s="2562"/>
      <c r="B57" s="681"/>
      <c r="D57" s="835" t="s">
        <v>896</v>
      </c>
      <c r="E57" s="841" t="s">
        <v>887</v>
      </c>
      <c r="F57" s="830" t="s">
        <v>870</v>
      </c>
      <c r="G57" s="838"/>
      <c r="H57" s="1193"/>
      <c r="I57" s="838"/>
      <c r="J57" s="1193"/>
      <c r="K57" s="459"/>
      <c r="X57" s="928">
        <v>0</v>
      </c>
    </row>
    <row s="9589" customFormat="1" customHeight="1" ht="11.25">
      <c r="A58" s="2562"/>
      <c r="B58" s="681"/>
      <c r="D58" s="835" t="s">
        <v>897</v>
      </c>
      <c r="E58" s="837" t="s">
        <v>889</v>
      </c>
      <c r="F58" s="830" t="s">
        <v>870</v>
      </c>
      <c r="G58" s="838"/>
      <c r="H58" s="1193"/>
      <c r="I58" s="838"/>
      <c r="J58" s="1193"/>
      <c r="K58" s="459"/>
      <c r="X58" s="928">
        <v>0</v>
      </c>
    </row>
    <row s="9589" customFormat="1" customHeight="1" ht="11.25">
      <c r="A59" s="2562"/>
      <c r="B59" s="681"/>
      <c r="D59" s="835" t="s">
        <v>898</v>
      </c>
      <c r="E59" s="837" t="s">
        <v>891</v>
      </c>
      <c r="F59" s="830" t="s">
        <v>870</v>
      </c>
      <c r="G59" s="838"/>
      <c r="H59" s="1193"/>
      <c r="I59" s="838"/>
      <c r="J59" s="1193"/>
      <c r="K59" s="459"/>
      <c r="X59" s="928">
        <v>0</v>
      </c>
    </row>
    <row s="9589" customFormat="1" customHeight="1" ht="33.75">
      <c r="A60" s="2562"/>
      <c r="B60" s="681"/>
      <c r="D60" s="835" t="s">
        <v>91</v>
      </c>
      <c r="E60" s="836" t="s">
        <v>899</v>
      </c>
      <c r="F60" s="891" t="s">
        <v>570</v>
      </c>
      <c r="G60" s="912"/>
      <c r="H60" s="1193"/>
      <c r="I60" s="912"/>
      <c r="J60" s="1193"/>
      <c r="K60" s="472" t="s">
        <v>900</v>
      </c>
      <c r="X60" s="928">
        <v>0</v>
      </c>
    </row>
    <row s="9589" customFormat="1" customHeight="1" ht="33.75">
      <c r="A61" s="2562"/>
      <c r="B61" s="681"/>
      <c r="D61" s="835" t="s">
        <v>92</v>
      </c>
      <c r="E61" s="836" t="s">
        <v>901</v>
      </c>
      <c r="F61" s="896" t="s">
        <v>831</v>
      </c>
      <c r="G61" s="838"/>
      <c r="H61" s="1193"/>
      <c r="I61" s="838"/>
      <c r="J61" s="1193"/>
      <c r="K61" s="459"/>
      <c r="X61" s="928">
        <v>0</v>
      </c>
    </row>
    <row s="9589" customFormat="1" customHeight="1" ht="22.5">
      <c r="A62" s="2562"/>
      <c r="B62" s="681" t="s">
        <v>600</v>
      </c>
      <c r="D62" s="835" t="s">
        <v>111</v>
      </c>
      <c r="E62" s="836" t="s">
        <v>902</v>
      </c>
      <c r="F62" s="896" t="s">
        <v>309</v>
      </c>
      <c r="G62" s="552"/>
      <c r="H62" s="1193"/>
      <c r="I62" s="552"/>
      <c r="J62" s="1193"/>
      <c r="K62" s="459" t="s">
        <v>643</v>
      </c>
      <c r="X62" s="928">
        <v>0</v>
      </c>
    </row>
    <row s="9589" customFormat="1" customHeight="1" ht="45">
      <c r="A63" s="2562"/>
      <c r="B63" s="681" t="s">
        <v>600</v>
      </c>
      <c r="D63" s="835" t="s">
        <v>903</v>
      </c>
      <c r="E63" s="837" t="s">
        <v>904</v>
      </c>
      <c r="F63" s="891" t="s">
        <v>309</v>
      </c>
      <c r="G63" s="552"/>
      <c r="H63" s="1193"/>
      <c r="I63" s="552"/>
      <c r="J63" s="1193"/>
      <c r="K63" s="459" t="s">
        <v>643</v>
      </c>
      <c r="X63" s="928">
        <v>0</v>
      </c>
    </row>
    <row s="9589" customFormat="1" customHeight="1" ht="11.549999999999999">
      <c r="A64" s="1203"/>
      <c r="B64" s="688"/>
      <c r="D64" s="1204"/>
      <c r="E64" s="1205"/>
      <c r="X64" s="679">
        <v>11</v>
      </c>
    </row>
    <row s="9589" customFormat="1" customHeight="1" ht="22.5" hidden="1">
      <c r="A65" s="2562" t="s">
        <v>905</v>
      </c>
      <c r="B65" s="681"/>
      <c r="D65" s="835">
        <v>1</v>
      </c>
      <c r="E65" s="914" t="s">
        <v>906</v>
      </c>
      <c r="F65" s="910" t="s">
        <v>821</v>
      </c>
      <c r="G65" s="911"/>
      <c r="H65" s="1199"/>
      <c r="I65" s="911"/>
      <c r="J65" s="1199"/>
      <c r="K65" s="471" t="s">
        <v>907</v>
      </c>
      <c r="X65" s="928">
        <v>0</v>
      </c>
    </row>
    <row s="9589" customFormat="1" customHeight="1" ht="56.25" hidden="1">
      <c r="A66" s="2562"/>
      <c r="B66" s="681"/>
      <c r="D66" s="913" t="s">
        <v>109</v>
      </c>
      <c r="E66" s="877" t="s">
        <v>908</v>
      </c>
      <c r="F66" s="830" t="s">
        <v>558</v>
      </c>
      <c r="G66" s="830" t="s">
        <v>558</v>
      </c>
      <c r="H66" s="689"/>
      <c r="I66" s="830" t="s">
        <v>558</v>
      </c>
      <c r="J66" s="689"/>
      <c r="K66" s="459"/>
      <c r="X66" s="928">
        <v>0</v>
      </c>
    </row>
    <row s="9589" customFormat="1" customHeight="1" ht="33.75" hidden="1">
      <c r="A67" s="2562"/>
      <c r="B67" s="681"/>
      <c r="D67" s="913" t="s">
        <v>720</v>
      </c>
      <c r="E67" s="1124" t="s">
        <v>909</v>
      </c>
      <c r="F67" s="830" t="s">
        <v>873</v>
      </c>
      <c r="G67" s="897"/>
      <c r="H67" s="689"/>
      <c r="I67" s="897"/>
      <c r="J67" s="689"/>
      <c r="K67" s="459"/>
      <c r="X67" s="928">
        <v>0</v>
      </c>
    </row>
    <row s="9589" customFormat="1" customHeight="1" ht="22.5" hidden="1">
      <c r="A68" s="2562"/>
      <c r="B68" s="681"/>
      <c r="D68" s="913" t="s">
        <v>310</v>
      </c>
      <c r="E68" s="1124" t="s">
        <v>910</v>
      </c>
      <c r="F68" s="830" t="s">
        <v>873</v>
      </c>
      <c r="G68" s="897"/>
      <c r="H68" s="689"/>
      <c r="I68" s="897"/>
      <c r="J68" s="689"/>
      <c r="K68" s="459"/>
      <c r="X68" s="928">
        <v>0</v>
      </c>
    </row>
    <row s="9589" customFormat="1" customHeight="1" ht="22.5" hidden="1">
      <c r="A69" s="2562"/>
      <c r="B69" s="681"/>
      <c r="D69" s="913" t="s">
        <v>313</v>
      </c>
      <c r="E69" s="1124" t="s">
        <v>911</v>
      </c>
      <c r="F69" s="891" t="s">
        <v>570</v>
      </c>
      <c r="G69" s="912"/>
      <c r="H69" s="689"/>
      <c r="I69" s="912"/>
      <c r="J69" s="689"/>
      <c r="K69" s="459"/>
      <c r="X69" s="928">
        <v>0</v>
      </c>
    </row>
    <row s="9589" customFormat="1" customHeight="1" ht="22.5" hidden="1">
      <c r="A70" s="2562"/>
      <c r="B70" s="681"/>
      <c r="D70" s="913" t="s">
        <v>740</v>
      </c>
      <c r="E70" s="1124" t="s">
        <v>912</v>
      </c>
      <c r="F70" s="891" t="s">
        <v>570</v>
      </c>
      <c r="G70" s="912"/>
      <c r="H70" s="689"/>
      <c r="I70" s="912"/>
      <c r="J70" s="689"/>
      <c r="K70" s="459"/>
      <c r="X70" s="928">
        <v>0</v>
      </c>
    </row>
    <row s="9589" customFormat="1" customHeight="1" ht="22.5" hidden="1">
      <c r="A71" s="2562"/>
      <c r="B71" s="681"/>
      <c r="D71" s="835" t="s">
        <v>89</v>
      </c>
      <c r="E71" s="836" t="s">
        <v>913</v>
      </c>
      <c r="F71" s="830" t="s">
        <v>873</v>
      </c>
      <c r="G71" s="727"/>
      <c r="H71" s="1200"/>
      <c r="I71" s="727"/>
      <c r="J71" s="1200"/>
      <c r="K71" s="472"/>
      <c r="X71" s="928">
        <v>0</v>
      </c>
    </row>
    <row s="9589" customFormat="1" customHeight="1" ht="56.25" hidden="1">
      <c r="A72" s="2562"/>
      <c r="B72" s="681"/>
      <c r="D72" s="835" t="s">
        <v>90</v>
      </c>
      <c r="E72" s="836" t="s">
        <v>914</v>
      </c>
      <c r="F72" s="891" t="s">
        <v>570</v>
      </c>
      <c r="G72" s="912"/>
      <c r="H72" s="1193"/>
      <c r="I72" s="912"/>
      <c r="J72" s="1193"/>
      <c r="K72" s="472"/>
      <c r="X72" s="928">
        <v>0</v>
      </c>
    </row>
    <row s="9589" customFormat="1" customHeight="1" ht="33.75" hidden="1">
      <c r="A73" s="2562"/>
      <c r="B73" s="681"/>
      <c r="D73" s="835" t="s">
        <v>110</v>
      </c>
      <c r="E73" s="836" t="s">
        <v>915</v>
      </c>
      <c r="F73" s="896" t="s">
        <v>831</v>
      </c>
      <c r="G73" s="838"/>
      <c r="H73" s="1193"/>
      <c r="I73" s="838"/>
      <c r="J73" s="1193"/>
      <c r="K73" s="459"/>
      <c r="X73" s="928">
        <v>0</v>
      </c>
    </row>
    <row s="9589" customFormat="1" customHeight="1" ht="22.5" hidden="1">
      <c r="A74" s="2562"/>
      <c r="B74" s="681" t="s">
        <v>600</v>
      </c>
      <c r="D74" s="835" t="s">
        <v>91</v>
      </c>
      <c r="E74" s="836" t="s">
        <v>916</v>
      </c>
      <c r="F74" s="896" t="s">
        <v>309</v>
      </c>
      <c r="G74" s="552"/>
      <c r="H74" s="1193"/>
      <c r="I74" s="552"/>
      <c r="J74" s="1193"/>
      <c r="K74" s="459" t="s">
        <v>643</v>
      </c>
      <c r="X74" s="928">
        <v>0</v>
      </c>
    </row>
    <row s="9589" customFormat="1" customHeight="1" ht="45" hidden="1">
      <c r="A75" s="2562"/>
      <c r="B75" s="681" t="s">
        <v>600</v>
      </c>
      <c r="D75" s="835" t="s">
        <v>664</v>
      </c>
      <c r="E75" s="837" t="s">
        <v>917</v>
      </c>
      <c r="F75" s="891" t="s">
        <v>309</v>
      </c>
      <c r="G75" s="552"/>
      <c r="H75" s="1193"/>
      <c r="I75" s="552"/>
      <c r="J75" s="1193"/>
      <c r="K75" s="459" t="s">
        <v>643</v>
      </c>
      <c r="X75" s="928">
        <v>0</v>
      </c>
    </row>
    <row s="9589" customFormat="1" customHeight="1" ht="11.549999999999999">
      <c r="A76" s="1203"/>
      <c r="B76" s="688"/>
      <c r="D76" s="1204"/>
      <c r="E76" s="1205"/>
      <c r="X76" s="679">
        <v>11</v>
      </c>
    </row>
    <row s="9589" customFormat="1" customHeight="1" ht="11.25" hidden="1">
      <c r="A77" s="2562" t="s">
        <v>918</v>
      </c>
      <c r="B77" s="681"/>
      <c r="D77" s="835">
        <v>1</v>
      </c>
      <c r="E77" s="836" t="s">
        <v>919</v>
      </c>
      <c r="F77" s="891" t="s">
        <v>821</v>
      </c>
      <c r="G77" s="894"/>
      <c r="H77" s="1193"/>
      <c r="I77" s="894"/>
      <c r="J77" s="1193"/>
      <c r="K77" s="459" t="s">
        <v>920</v>
      </c>
      <c r="X77" s="928">
        <v>0</v>
      </c>
    </row>
    <row s="9589" customFormat="1" customHeight="1" ht="11.25" hidden="1">
      <c r="A78" s="2562"/>
      <c r="B78" s="681"/>
      <c r="D78" s="835" t="s">
        <v>109</v>
      </c>
      <c r="E78" s="836" t="s">
        <v>921</v>
      </c>
      <c r="F78" s="891" t="s">
        <v>821</v>
      </c>
      <c r="G78" s="894"/>
      <c r="H78" s="1193"/>
      <c r="I78" s="894"/>
      <c r="J78" s="1193"/>
      <c r="K78" s="459" t="s">
        <v>922</v>
      </c>
      <c r="X78" s="928">
        <v>0</v>
      </c>
    </row>
    <row s="9589" customFormat="1" customHeight="1" ht="22.5" hidden="1">
      <c r="A79" s="2562"/>
      <c r="B79" s="681"/>
      <c r="D79" s="835" t="s">
        <v>89</v>
      </c>
      <c r="E79" s="892" t="s">
        <v>923</v>
      </c>
      <c r="F79" s="830" t="s">
        <v>870</v>
      </c>
      <c r="G79" s="894"/>
      <c r="H79" s="1193"/>
      <c r="I79" s="894"/>
      <c r="J79" s="1193"/>
      <c r="K79" s="459" t="s">
        <v>924</v>
      </c>
      <c r="X79" s="928">
        <v>0</v>
      </c>
    </row>
    <row s="9589" customFormat="1" customHeight="1" ht="11.25" hidden="1">
      <c r="A80" s="2562"/>
      <c r="B80" s="681"/>
      <c r="D80" s="835" t="s">
        <v>327</v>
      </c>
      <c r="E80" s="893" t="s">
        <v>925</v>
      </c>
      <c r="F80" s="830" t="s">
        <v>870</v>
      </c>
      <c r="G80" s="894"/>
      <c r="H80" s="1193"/>
      <c r="I80" s="894"/>
      <c r="J80" s="1193"/>
      <c r="K80" s="459"/>
      <c r="X80" s="928">
        <v>0</v>
      </c>
    </row>
    <row s="9589" customFormat="1" customHeight="1" ht="11.25" hidden="1">
      <c r="A81" s="2562"/>
      <c r="B81" s="681"/>
      <c r="D81" s="835" t="s">
        <v>335</v>
      </c>
      <c r="E81" s="893" t="s">
        <v>926</v>
      </c>
      <c r="F81" s="830" t="s">
        <v>870</v>
      </c>
      <c r="G81" s="894"/>
      <c r="H81" s="1193"/>
      <c r="I81" s="894"/>
      <c r="J81" s="1193"/>
      <c r="K81" s="459"/>
      <c r="X81" s="928">
        <v>0</v>
      </c>
    </row>
    <row s="9589" customFormat="1" customHeight="1" ht="11.25" hidden="1">
      <c r="A82" s="2562"/>
      <c r="B82" s="681"/>
      <c r="D82" s="835" t="s">
        <v>337</v>
      </c>
      <c r="E82" s="893" t="s">
        <v>927</v>
      </c>
      <c r="F82" s="830" t="s">
        <v>870</v>
      </c>
      <c r="G82" s="894"/>
      <c r="H82" s="1193"/>
      <c r="I82" s="894"/>
      <c r="J82" s="1193"/>
      <c r="K82" s="459"/>
      <c r="X82" s="928">
        <v>0</v>
      </c>
    </row>
    <row s="9589" customFormat="1" customHeight="1" ht="11.25" hidden="1">
      <c r="A83" s="2562"/>
      <c r="B83" s="681"/>
      <c r="D83" s="835" t="s">
        <v>339</v>
      </c>
      <c r="E83" s="893" t="s">
        <v>928</v>
      </c>
      <c r="F83" s="830" t="s">
        <v>870</v>
      </c>
      <c r="G83" s="894"/>
      <c r="H83" s="1193"/>
      <c r="I83" s="894"/>
      <c r="J83" s="1193"/>
      <c r="K83" s="459"/>
      <c r="X83" s="928">
        <v>0</v>
      </c>
    </row>
    <row s="9589" customFormat="1" customHeight="1" ht="11.25" hidden="1">
      <c r="A84" s="2562"/>
      <c r="B84" s="681"/>
      <c r="D84" s="835" t="s">
        <v>929</v>
      </c>
      <c r="E84" s="893" t="s">
        <v>930</v>
      </c>
      <c r="F84" s="830" t="s">
        <v>870</v>
      </c>
      <c r="G84" s="894"/>
      <c r="H84" s="1193"/>
      <c r="I84" s="894"/>
      <c r="J84" s="1193"/>
      <c r="K84" s="459"/>
      <c r="X84" s="928">
        <v>0</v>
      </c>
    </row>
    <row s="9589" customFormat="1" customHeight="1" ht="11.25" hidden="1">
      <c r="A85" s="2562"/>
      <c r="B85" s="681"/>
      <c r="D85" s="835" t="s">
        <v>931</v>
      </c>
      <c r="E85" s="893" t="s">
        <v>932</v>
      </c>
      <c r="F85" s="830" t="s">
        <v>870</v>
      </c>
      <c r="G85" s="894"/>
      <c r="H85" s="1193"/>
      <c r="I85" s="894"/>
      <c r="J85" s="1193"/>
      <c r="K85" s="459"/>
      <c r="X85" s="928">
        <v>0</v>
      </c>
    </row>
    <row s="9589" customFormat="1" customHeight="1" ht="11.25" hidden="1">
      <c r="A86" s="2562"/>
      <c r="B86" s="681"/>
      <c r="D86" s="835" t="s">
        <v>933</v>
      </c>
      <c r="E86" s="893" t="s">
        <v>934</v>
      </c>
      <c r="F86" s="830" t="s">
        <v>870</v>
      </c>
      <c r="G86" s="894"/>
      <c r="H86" s="1193"/>
      <c r="I86" s="894"/>
      <c r="J86" s="1193"/>
      <c r="K86" s="459"/>
      <c r="X86" s="928">
        <v>0</v>
      </c>
    </row>
    <row s="9589" customFormat="1" customHeight="1" ht="45" hidden="1">
      <c r="A87" s="2562"/>
      <c r="B87" s="681"/>
      <c r="D87" s="835" t="s">
        <v>90</v>
      </c>
      <c r="E87" s="836" t="s">
        <v>935</v>
      </c>
      <c r="F87" s="830" t="s">
        <v>870</v>
      </c>
      <c r="G87" s="894"/>
      <c r="H87" s="1193"/>
      <c r="I87" s="894"/>
      <c r="J87" s="1193"/>
      <c r="K87" s="459" t="s">
        <v>936</v>
      </c>
      <c r="X87" s="928">
        <v>0</v>
      </c>
    </row>
    <row s="9589" customFormat="1" customHeight="1" ht="11.25" hidden="1">
      <c r="A88" s="2562"/>
      <c r="B88" s="681"/>
      <c r="D88" s="835" t="s">
        <v>765</v>
      </c>
      <c r="E88" s="893" t="s">
        <v>925</v>
      </c>
      <c r="F88" s="830" t="s">
        <v>870</v>
      </c>
      <c r="G88" s="894"/>
      <c r="H88" s="1193"/>
      <c r="I88" s="894"/>
      <c r="J88" s="1193"/>
      <c r="K88" s="459"/>
      <c r="X88" s="928">
        <v>0</v>
      </c>
    </row>
    <row s="9589" customFormat="1" customHeight="1" ht="11.25" hidden="1">
      <c r="A89" s="2562"/>
      <c r="B89" s="681"/>
      <c r="D89" s="835" t="s">
        <v>807</v>
      </c>
      <c r="E89" s="893" t="s">
        <v>926</v>
      </c>
      <c r="F89" s="830" t="s">
        <v>870</v>
      </c>
      <c r="G89" s="894"/>
      <c r="H89" s="1193"/>
      <c r="I89" s="894"/>
      <c r="J89" s="1193"/>
      <c r="K89" s="459"/>
      <c r="X89" s="928">
        <v>0</v>
      </c>
    </row>
    <row s="9589" customFormat="1" customHeight="1" ht="11.25" hidden="1">
      <c r="A90" s="2562"/>
      <c r="B90" s="681"/>
      <c r="D90" s="835" t="s">
        <v>810</v>
      </c>
      <c r="E90" s="893" t="s">
        <v>927</v>
      </c>
      <c r="F90" s="830" t="s">
        <v>870</v>
      </c>
      <c r="G90" s="894"/>
      <c r="H90" s="1193"/>
      <c r="I90" s="894"/>
      <c r="J90" s="1193"/>
      <c r="K90" s="459"/>
      <c r="X90" s="928">
        <v>0</v>
      </c>
    </row>
    <row s="9589" customFormat="1" customHeight="1" ht="11.25" hidden="1">
      <c r="A91" s="2562"/>
      <c r="B91" s="681"/>
      <c r="D91" s="835" t="s">
        <v>888</v>
      </c>
      <c r="E91" s="893" t="s">
        <v>928</v>
      </c>
      <c r="F91" s="830" t="s">
        <v>870</v>
      </c>
      <c r="G91" s="894"/>
      <c r="H91" s="1193"/>
      <c r="I91" s="894"/>
      <c r="J91" s="1193"/>
      <c r="K91" s="459"/>
      <c r="X91" s="928">
        <v>0</v>
      </c>
    </row>
    <row s="9589" customFormat="1" customHeight="1" ht="11.25" hidden="1">
      <c r="A92" s="2562"/>
      <c r="B92" s="681"/>
      <c r="D92" s="835" t="s">
        <v>890</v>
      </c>
      <c r="E92" s="893" t="s">
        <v>930</v>
      </c>
      <c r="F92" s="830" t="s">
        <v>870</v>
      </c>
      <c r="G92" s="894"/>
      <c r="H92" s="1193"/>
      <c r="I92" s="894"/>
      <c r="J92" s="1193"/>
      <c r="K92" s="459"/>
      <c r="X92" s="928">
        <v>0</v>
      </c>
    </row>
    <row s="9589" customFormat="1" customHeight="1" ht="11.25" hidden="1">
      <c r="A93" s="2562"/>
      <c r="B93" s="681"/>
      <c r="D93" s="835" t="s">
        <v>937</v>
      </c>
      <c r="E93" s="893" t="s">
        <v>932</v>
      </c>
      <c r="F93" s="830" t="s">
        <v>870</v>
      </c>
      <c r="G93" s="894"/>
      <c r="H93" s="1193"/>
      <c r="I93" s="894"/>
      <c r="J93" s="1193"/>
      <c r="K93" s="459"/>
      <c r="X93" s="928">
        <v>0</v>
      </c>
    </row>
    <row s="9589" customFormat="1" customHeight="1" ht="11.25" hidden="1">
      <c r="A94" s="2562"/>
      <c r="B94" s="681"/>
      <c r="D94" s="835" t="s">
        <v>938</v>
      </c>
      <c r="E94" s="893" t="s">
        <v>934</v>
      </c>
      <c r="F94" s="830" t="s">
        <v>870</v>
      </c>
      <c r="G94" s="894"/>
      <c r="H94" s="1193"/>
      <c r="I94" s="894"/>
      <c r="J94" s="1193"/>
      <c r="K94" s="459"/>
      <c r="X94" s="928">
        <v>0</v>
      </c>
    </row>
    <row s="9589" customFormat="1" customHeight="1" ht="24.75" hidden="1">
      <c r="A95" s="2562"/>
      <c r="B95" s="681"/>
      <c r="D95" s="835" t="s">
        <v>110</v>
      </c>
      <c r="E95" s="836" t="s">
        <v>939</v>
      </c>
      <c r="F95" s="895" t="s">
        <v>570</v>
      </c>
      <c r="G95" s="897"/>
      <c r="H95" s="1193"/>
      <c r="I95" s="897"/>
      <c r="J95" s="1193"/>
      <c r="K95" s="459" t="s">
        <v>940</v>
      </c>
      <c r="X95" s="928">
        <v>0</v>
      </c>
    </row>
    <row s="9589" customFormat="1" customHeight="1" ht="33.75" hidden="1">
      <c r="A96" s="2562"/>
      <c r="B96" s="681"/>
      <c r="D96" s="835" t="s">
        <v>91</v>
      </c>
      <c r="E96" s="836" t="s">
        <v>941</v>
      </c>
      <c r="F96" s="896" t="s">
        <v>831</v>
      </c>
      <c r="G96" s="898"/>
      <c r="H96" s="1193"/>
      <c r="I96" s="898"/>
      <c r="J96" s="1193"/>
      <c r="K96" s="459"/>
      <c r="X96" s="928">
        <v>0</v>
      </c>
    </row>
    <row s="9589" customFormat="1" customHeight="1" ht="22.5" hidden="1">
      <c r="A97" s="2562"/>
      <c r="B97" s="681" t="s">
        <v>600</v>
      </c>
      <c r="D97" s="835" t="s">
        <v>92</v>
      </c>
      <c r="E97" s="836" t="s">
        <v>942</v>
      </c>
      <c r="F97" s="896" t="s">
        <v>309</v>
      </c>
      <c r="G97" s="555"/>
      <c r="H97" s="1193"/>
      <c r="I97" s="555"/>
      <c r="J97" s="1193"/>
      <c r="K97" s="459" t="s">
        <v>643</v>
      </c>
      <c r="X97" s="928">
        <v>0</v>
      </c>
    </row>
    <row s="9589" customFormat="1" customHeight="1" ht="45" hidden="1">
      <c r="A98" s="2562"/>
      <c r="B98" s="681" t="s">
        <v>600</v>
      </c>
      <c r="D98" s="835" t="s">
        <v>943</v>
      </c>
      <c r="E98" s="837" t="s">
        <v>944</v>
      </c>
      <c r="F98" s="891" t="s">
        <v>309</v>
      </c>
      <c r="G98" s="555"/>
      <c r="H98" s="1193"/>
      <c r="I98" s="555"/>
      <c r="J98" s="1193"/>
      <c r="K98" s="459" t="s">
        <v>643</v>
      </c>
      <c r="X98" s="928">
        <v>0</v>
      </c>
    </row>
    <row s="9589" customFormat="1" customHeight="1" ht="95.25" hidden="1">
      <c r="A99" s="2562"/>
      <c r="B99" s="681" t="s">
        <v>600</v>
      </c>
      <c r="D99" s="835" t="s">
        <v>111</v>
      </c>
      <c r="E99" s="836" t="s">
        <v>945</v>
      </c>
      <c r="F99" s="891" t="s">
        <v>309</v>
      </c>
      <c r="G99" s="555"/>
      <c r="H99" s="1193"/>
      <c r="I99" s="555"/>
      <c r="J99" s="1193"/>
      <c r="K99" s="459" t="s">
        <v>643</v>
      </c>
      <c r="X99" s="928">
        <v>0</v>
      </c>
    </row>
    <row s="9589" customFormat="1" customHeight="1" ht="22.5" hidden="1">
      <c r="A100" s="2562"/>
      <c r="B100" s="681" t="s">
        <v>600</v>
      </c>
      <c r="D100" s="835" t="s">
        <v>147</v>
      </c>
      <c r="E100" s="836" t="s">
        <v>946</v>
      </c>
      <c r="F100" s="891" t="s">
        <v>309</v>
      </c>
      <c r="G100" s="555"/>
      <c r="H100" s="1193"/>
      <c r="I100" s="555"/>
      <c r="J100" s="1193"/>
      <c r="K100" s="459" t="s">
        <v>643</v>
      </c>
      <c r="X100" s="928">
        <v>0</v>
      </c>
    </row>
    <row s="9589" customFormat="1" customHeight="1" ht="11.549999999999999">
      <c r="A101" s="1203"/>
      <c r="B101" s="688"/>
      <c r="D101" s="1204"/>
      <c r="E101" s="1205"/>
      <c r="X101" s="679">
        <v>11</v>
      </c>
    </row>
    <row customHeight="1" ht="22.5" hidden="1">
      <c r="A102" s="706" t="s">
        <v>81</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F53C5-ADA5-68B7-8BEB-2FE9554B786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9793" width="6.421875" hidden="1" customWidth="1"/>
    <col min="2" max="2" style="9793" width="2.00390625" hidden="1" customWidth="1"/>
    <col min="3" max="3" style="9793" width="3.00390625" customWidth="1"/>
    <col min="4" max="4" style="9793" width="4.00390625" customWidth="1"/>
    <col min="5" max="5" style="9793" width="44.00390625" customWidth="1"/>
    <col min="6" max="6" style="9793" width="6.421875" customWidth="1"/>
    <col min="7" max="7" style="9793" width="4.00390625" customWidth="1"/>
    <col min="8" max="8" style="9793" width="5.00390625" customWidth="1"/>
    <col min="9" max="9" style="9793" width="52.00390625" customWidth="1"/>
    <col min="10" max="10" style="9793" width="7.00390625" customWidth="1"/>
    <col min="11" max="11" style="9793" width="3.00390625" customWidth="1"/>
    <col min="12" max="12" style="9793" width="6.00390625" customWidth="1"/>
    <col min="13" max="13" style="9793" width="56.00390625" customWidth="1"/>
    <col min="14" max="14" style="9844" width="8.00390625" customWidth="1"/>
    <col min="15" max="20" style="9756" width="9.140625" hidden="1"/>
    <col min="21" max="24" style="9845" width="9.140625" hidden="1"/>
    <col min="25" max="37" style="9844" width="9.140625" hidden="1"/>
    <col min="38" max="38" style="9844" width="8.00390625" customWidth="1"/>
    <col min="39" max="39" style="9793"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90"/>
      <c r="F4" s="2290"/>
      <c r="G4" s="2290"/>
      <c r="H4" s="2290"/>
      <c r="I4" s="2291"/>
      <c r="J4" s="754"/>
      <c r="K4" s="754"/>
      <c r="L4" s="754"/>
      <c r="M4" s="754"/>
      <c r="AM4" s="753">
        <v>34</v>
      </c>
    </row>
    <row s="9764" customFormat="1" customHeight="1" ht="14.699999999999998">
      <c r="A5" s="755"/>
      <c r="B5" s="755"/>
      <c r="C5" s="755"/>
      <c r="D5" s="2292" t="str">
        <f>IF(org=0,"Не определено",org)</f>
        <v>МУП "Водоканал"</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9764"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9764"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104</v>
      </c>
      <c r="E9" s="2297"/>
      <c r="F9" s="2298" t="s">
        <v>105</v>
      </c>
      <c r="G9" s="2299"/>
      <c r="H9" s="2299"/>
      <c r="I9" s="2299"/>
      <c r="J9" s="2302" t="s">
        <v>106</v>
      </c>
      <c r="K9" s="2302"/>
      <c r="L9" s="2302"/>
      <c r="M9" s="2302"/>
      <c r="AM9" s="753">
        <v>18</v>
      </c>
    </row>
    <row customHeight="1" ht="24">
      <c r="A10" s="2296"/>
      <c r="B10" s="762"/>
      <c r="C10" s="695"/>
      <c r="D10" s="693" t="s">
        <v>87</v>
      </c>
      <c r="E10" s="693" t="s">
        <v>88</v>
      </c>
      <c r="F10" s="693" t="s">
        <v>107</v>
      </c>
      <c r="G10" s="2303" t="s">
        <v>87</v>
      </c>
      <c r="H10" s="2304"/>
      <c r="I10" s="693" t="s">
        <v>88</v>
      </c>
      <c r="J10" s="693" t="s">
        <v>107</v>
      </c>
      <c r="K10" s="2303" t="s">
        <v>87</v>
      </c>
      <c r="L10" s="2304"/>
      <c r="M10" s="693" t="s">
        <v>88</v>
      </c>
      <c r="N10" s="1797"/>
      <c r="AM10" s="753">
        <v>23</v>
      </c>
    </row>
    <row s="9793" customFormat="1" customHeight="1" ht="11.25" hidden="1">
      <c r="A11" s="763"/>
      <c r="B11" s="763"/>
      <c r="C11" s="763"/>
      <c r="D11" s="764" t="s">
        <v>108</v>
      </c>
      <c r="E11" s="764" t="s">
        <v>109</v>
      </c>
      <c r="F11" s="764" t="s">
        <v>89</v>
      </c>
      <c r="G11" s="2285" t="s">
        <v>90</v>
      </c>
      <c r="H11" s="2286"/>
      <c r="I11" s="764" t="s">
        <v>110</v>
      </c>
      <c r="J11" s="764" t="s">
        <v>91</v>
      </c>
      <c r="K11" s="2287" t="s">
        <v>92</v>
      </c>
      <c r="L11" s="2288"/>
      <c r="M11" s="764" t="s">
        <v>111</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112</v>
      </c>
      <c r="P12" s="1583" t="s">
        <v>113</v>
      </c>
      <c r="Q12" s="1583" t="s">
        <v>114</v>
      </c>
      <c r="R12" s="1583" t="s">
        <v>115</v>
      </c>
      <c r="AM12" s="753">
        <v>1</v>
      </c>
    </row>
    <row s="9793" customFormat="1" customHeight="1" ht="15.75">
      <c r="A13" s="463"/>
      <c r="B13" s="463"/>
      <c r="C13" s="696"/>
      <c r="D13" s="2278" t="s">
        <v>108</v>
      </c>
      <c r="E13" s="2279"/>
      <c r="F13" s="2282" t="s">
        <v>65</v>
      </c>
      <c r="G13" s="2283"/>
      <c r="H13" s="2284">
        <v>1</v>
      </c>
      <c r="I13" s="2275" t="str">
        <f>IF(U13="","",INDEX(TERRITORY_MR_LIST,MATCH(U13,TERRITORY_LIST_ID,0)))</f>
        <v/>
      </c>
      <c r="J13" s="2277" t="s">
        <v>19</v>
      </c>
      <c r="K13" s="772"/>
      <c r="L13" s="697" t="s">
        <v>108</v>
      </c>
      <c r="M13" s="773" t="s">
        <v>28</v>
      </c>
      <c r="N13" s="982"/>
      <c r="O13" s="1586" t="s">
        <v>116</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117</v>
      </c>
      <c r="Z13" s="774">
        <v>1705000</v>
      </c>
      <c r="AA13" s="774"/>
      <c r="AB13" s="774"/>
      <c r="AC13" s="774"/>
      <c r="AD13" s="774"/>
      <c r="AE13" s="774"/>
      <c r="AF13" s="774"/>
      <c r="AG13" s="774"/>
      <c r="AH13" s="774"/>
      <c r="AI13" s="774"/>
      <c r="AJ13" s="774"/>
      <c r="AK13" s="774"/>
      <c r="AL13" s="774"/>
      <c r="AM13" s="776">
        <v>15</v>
      </c>
    </row>
    <row s="9793" customFormat="1" customHeight="1" ht="15.75">
      <c r="A14" s="463"/>
      <c r="B14" s="463"/>
      <c r="C14" s="346"/>
      <c r="D14" s="2278"/>
      <c r="E14" s="2280"/>
      <c r="F14" s="2277"/>
      <c r="G14" s="2283"/>
      <c r="H14" s="2284"/>
      <c r="I14" s="2276"/>
      <c r="J14" s="2277"/>
      <c r="K14" s="591"/>
      <c r="L14" s="347"/>
      <c r="M14" s="777" t="s">
        <v>118</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9793" customFormat="1" customHeight="1" ht="15.75">
      <c r="A15" s="463"/>
      <c r="B15" s="463"/>
      <c r="C15" s="346"/>
      <c r="D15" s="2278"/>
      <c r="E15" s="2281"/>
      <c r="F15" s="2277"/>
      <c r="G15" s="1230"/>
      <c r="H15" s="1231"/>
      <c r="I15" s="750" t="s">
        <v>119</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120</v>
      </c>
      <c r="F16" s="347"/>
      <c r="G16" s="347"/>
      <c r="H16" s="347"/>
      <c r="I16" s="347"/>
      <c r="J16" s="347"/>
      <c r="K16" s="347" t="s">
        <v>28</v>
      </c>
      <c r="L16" s="347"/>
      <c r="M16" s="778"/>
      <c r="N16" s="1797"/>
      <c r="AM16" s="753">
        <v>15</v>
      </c>
    </row>
    <row customHeight="1" ht="11.25" hidden="1">
      <c r="A17" s="753" t="s">
        <v>81</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93AD3-19CD-F75D-DF13-623FBC2B609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9553" width="9.140625" hidden="1" customWidth="1"/>
    <col min="2" max="2" style="9589" width="9.140625" hidden="1" customWidth="1"/>
    <col min="3" max="3" style="12431" width="4.00390625" customWidth="1"/>
    <col min="4" max="4" style="9589" width="6.00390625" customWidth="1"/>
    <col min="5" max="5" style="9589" width="36.00390625" customWidth="1"/>
    <col min="6" max="6" style="9589" width="9.00390625" customWidth="1"/>
    <col min="7" max="7" style="9589" width="25.7109375" hidden="1" customWidth="1"/>
    <col min="8" max="8" style="9589" width="33.7109375" hidden="1" customWidth="1"/>
    <col min="9" max="9" style="9589" width="25.7109375" customWidth="1"/>
    <col min="10" max="10" style="9589" width="33.00390625" customWidth="1"/>
    <col min="11" max="11" style="9666" width="93.00390625" customWidth="1"/>
    <col min="12" max="20" style="9589" width="10.00390625" customWidth="1"/>
    <col min="21" max="21" style="12432" width="10.00390625" customWidth="1"/>
    <col min="22" max="22" style="9589" width="10.57421875" hidden="1"/>
  </cols>
  <sheetData>
    <row s="9666" customFormat="1" customHeight="1" ht="22.5" hidden="1">
      <c r="C1" s="842"/>
      <c r="G1" s="587">
        <v>4</v>
      </c>
      <c r="I1" s="587">
        <v>4</v>
      </c>
      <c r="U1" s="590"/>
      <c r="V1" s="587" t="s">
        <v>14</v>
      </c>
    </row>
    <row s="9666" customFormat="1" customHeight="1" ht="15" hidden="1">
      <c r="C2" s="842"/>
      <c r="U2" s="590"/>
      <c r="V2" s="587">
        <v>0</v>
      </c>
    </row>
    <row customHeight="1" ht="22.5" hidden="1">
      <c r="A3" s="675"/>
      <c r="B3" s="2567"/>
      <c r="C3" s="2568" t="s">
        <v>489</v>
      </c>
      <c r="D3" s="859" t="str">
        <f>B3&amp;".1"</f>
        <v>.1</v>
      </c>
      <c r="E3" s="860" t="s">
        <v>947</v>
      </c>
      <c r="F3" s="861" t="s">
        <v>309</v>
      </c>
      <c r="G3" s="856"/>
      <c r="H3" s="571"/>
      <c r="I3" s="856"/>
      <c r="J3" s="571"/>
      <c r="K3" s="459" t="s">
        <v>948</v>
      </c>
      <c r="V3" s="675">
        <v>0</v>
      </c>
    </row>
    <row customHeight="1" ht="15" hidden="1">
      <c r="A4" s="675"/>
      <c r="B4" s="2567"/>
      <c r="C4" s="2568"/>
      <c r="D4" s="859" t="str">
        <f>B3&amp;".2"</f>
        <v>.2</v>
      </c>
      <c r="E4" s="860" t="s">
        <v>949</v>
      </c>
      <c r="F4" s="861" t="s">
        <v>309</v>
      </c>
      <c r="G4" s="1908" t="s">
        <v>28</v>
      </c>
      <c r="H4" s="571"/>
      <c r="I4" s="1908" t="s">
        <v>28</v>
      </c>
      <c r="J4" s="571"/>
      <c r="K4" s="459" t="s">
        <v>950</v>
      </c>
      <c r="V4" s="675">
        <v>0</v>
      </c>
    </row>
    <row s="9666" customFormat="1" customHeight="1" ht="15" hidden="1">
      <c r="C5" s="842"/>
      <c r="U5" s="590"/>
      <c r="V5" s="587">
        <v>0</v>
      </c>
    </row>
    <row customHeight="1" ht="22.5" hidden="1">
      <c r="A6" s="675"/>
      <c r="B6" s="2567"/>
      <c r="C6" s="2568" t="s">
        <v>489</v>
      </c>
      <c r="D6" s="859" t="str">
        <f>B6&amp;".1"</f>
        <v>.1</v>
      </c>
      <c r="E6" s="860" t="s">
        <v>951</v>
      </c>
      <c r="F6" s="861" t="s">
        <v>309</v>
      </c>
      <c r="G6" s="856"/>
      <c r="H6" s="571"/>
      <c r="I6" s="856"/>
      <c r="J6" s="571"/>
      <c r="K6" s="459" t="s">
        <v>952</v>
      </c>
      <c r="V6" s="675">
        <v>0</v>
      </c>
    </row>
    <row customHeight="1" ht="15" hidden="1">
      <c r="A7" s="675"/>
      <c r="B7" s="2567"/>
      <c r="C7" s="2568"/>
      <c r="D7" s="859" t="str">
        <f>B6&amp;".2"</f>
        <v>.2</v>
      </c>
      <c r="E7" s="860" t="s">
        <v>949</v>
      </c>
      <c r="F7" s="861" t="s">
        <v>309</v>
      </c>
      <c r="G7" s="1908" t="s">
        <v>28</v>
      </c>
      <c r="H7" s="571"/>
      <c r="I7" s="1908" t="s">
        <v>28</v>
      </c>
      <c r="J7" s="571"/>
      <c r="K7" s="459" t="s">
        <v>950</v>
      </c>
      <c r="V7" s="675">
        <v>0</v>
      </c>
    </row>
    <row s="9666" customFormat="1" customHeight="1" ht="15" hidden="1">
      <c r="C8" s="842"/>
      <c r="U8" s="590"/>
      <c r="V8" s="587">
        <v>0</v>
      </c>
    </row>
    <row customHeight="1" ht="22.5" hidden="1">
      <c r="A9" s="675"/>
      <c r="B9" s="2567"/>
      <c r="C9" s="2568" t="s">
        <v>489</v>
      </c>
      <c r="D9" s="859" t="str">
        <f>B9&amp;".1"</f>
        <v>.1</v>
      </c>
      <c r="E9" s="860" t="s">
        <v>953</v>
      </c>
      <c r="F9" s="861" t="s">
        <v>309</v>
      </c>
      <c r="G9" s="867" t="s">
        <v>28</v>
      </c>
      <c r="H9" s="571" t="s">
        <v>28</v>
      </c>
      <c r="I9" s="867" t="s">
        <v>28</v>
      </c>
      <c r="J9" s="571" t="s">
        <v>28</v>
      </c>
      <c r="K9" s="459"/>
      <c r="V9" s="675">
        <v>0</v>
      </c>
    </row>
    <row customHeight="1" ht="15" hidden="1">
      <c r="A10" s="675"/>
      <c r="B10" s="2567"/>
      <c r="C10" s="2568"/>
      <c r="D10" s="859" t="str">
        <f>B9&amp;".2"</f>
        <v>.2</v>
      </c>
      <c r="E10" s="860" t="s">
        <v>954</v>
      </c>
      <c r="F10" s="861" t="s">
        <v>309</v>
      </c>
      <c r="G10" s="1902" t="s">
        <v>28</v>
      </c>
      <c r="H10" s="571" t="s">
        <v>28</v>
      </c>
      <c r="I10" s="1902" t="s">
        <v>28</v>
      </c>
      <c r="J10" s="571" t="s">
        <v>28</v>
      </c>
      <c r="K10" s="459" t="s">
        <v>955</v>
      </c>
      <c r="V10" s="675">
        <v>0</v>
      </c>
    </row>
    <row customHeight="1" ht="15" hidden="1">
      <c r="A11" s="675"/>
      <c r="B11" s="2567"/>
      <c r="C11" s="2568"/>
      <c r="D11" s="859" t="str">
        <f>B9&amp;".3"</f>
        <v>.3</v>
      </c>
      <c r="E11" s="860" t="s">
        <v>956</v>
      </c>
      <c r="F11" s="861" t="s">
        <v>309</v>
      </c>
      <c r="G11" s="1902" t="s">
        <v>28</v>
      </c>
      <c r="H11" s="571" t="s">
        <v>28</v>
      </c>
      <c r="I11" s="1902" t="s">
        <v>28</v>
      </c>
      <c r="J11" s="571" t="s">
        <v>28</v>
      </c>
      <c r="K11" s="459" t="s">
        <v>957</v>
      </c>
      <c r="V11" s="675">
        <v>0</v>
      </c>
    </row>
    <row s="9666" customFormat="1" customHeight="1" ht="15" hidden="1">
      <c r="C12" s="842"/>
      <c r="U12" s="590"/>
      <c r="V12" s="587">
        <v>0</v>
      </c>
    </row>
    <row customHeight="1" ht="33.75" hidden="1">
      <c r="A13" s="675"/>
      <c r="B13" s="2567"/>
      <c r="C13" s="2568" t="s">
        <v>489</v>
      </c>
      <c r="D13" s="859" t="str">
        <f>B13&amp;".1"</f>
        <v>.1</v>
      </c>
      <c r="E13" s="860" t="s">
        <v>958</v>
      </c>
      <c r="F13" s="861" t="s">
        <v>309</v>
      </c>
      <c r="G13" s="867" t="s">
        <v>28</v>
      </c>
      <c r="H13" s="571" t="s">
        <v>28</v>
      </c>
      <c r="I13" s="867" t="s">
        <v>28</v>
      </c>
      <c r="J13" s="571" t="s">
        <v>28</v>
      </c>
      <c r="K13" s="459" t="s">
        <v>959</v>
      </c>
      <c r="V13" s="675">
        <v>0</v>
      </c>
    </row>
    <row customHeight="1" ht="15" hidden="1">
      <c r="B14" s="2567"/>
      <c r="C14" s="2568"/>
      <c r="D14" s="859" t="str">
        <f>B13&amp;".2"</f>
        <v>.2</v>
      </c>
      <c r="E14" s="860" t="s">
        <v>960</v>
      </c>
      <c r="F14" s="861" t="s">
        <v>309</v>
      </c>
      <c r="G14" s="1902" t="s">
        <v>28</v>
      </c>
      <c r="H14" s="571" t="s">
        <v>28</v>
      </c>
      <c r="I14" s="1902" t="s">
        <v>28</v>
      </c>
      <c r="J14" s="571" t="s">
        <v>28</v>
      </c>
      <c r="K14" s="459" t="s">
        <v>961</v>
      </c>
      <c r="V14" s="675">
        <v>0</v>
      </c>
    </row>
    <row s="9666" customFormat="1" customHeight="1" ht="15" hidden="1">
      <c r="C15" s="842"/>
      <c r="U15" s="590"/>
      <c r="V15" s="587">
        <v>0</v>
      </c>
    </row>
    <row s="9666" customFormat="1" customHeight="1" ht="15" hidden="1">
      <c r="C16" s="842"/>
      <c r="U16" s="590"/>
      <c r="V16" s="587">
        <v>0</v>
      </c>
    </row>
    <row s="9666" customFormat="1" customHeight="1" ht="15" hidden="1">
      <c r="C17" s="842"/>
      <c r="U17" s="590"/>
      <c r="V17" s="587">
        <v>0</v>
      </c>
    </row>
    <row s="9666" customFormat="1" customHeight="1" ht="15" hidden="1">
      <c r="C18" s="842"/>
      <c r="U18" s="590"/>
      <c r="V18" s="587">
        <v>0</v>
      </c>
    </row>
    <row s="9666" customFormat="1" customHeight="1" ht="15" hidden="1">
      <c r="C19" s="842"/>
      <c r="U19" s="590"/>
      <c r="V19" s="587">
        <v>0</v>
      </c>
    </row>
    <row s="9666"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МУП "Водоканал"</v>
      </c>
      <c r="E23" s="2346"/>
      <c r="F23" s="2346"/>
      <c r="G23" s="2346"/>
      <c r="H23" s="2346"/>
      <c r="I23" s="2346"/>
      <c r="J23" s="846"/>
      <c r="K23" s="707"/>
      <c r="V23" s="675">
        <v>15</v>
      </c>
    </row>
    <row customHeight="1" ht="15.75">
      <c r="C24" s="346"/>
      <c r="D24" s="679"/>
      <c r="E24" s="679"/>
      <c r="F24" s="679"/>
      <c r="G24" s="707">
        <v>22</v>
      </c>
      <c r="H24" s="922"/>
      <c r="I24" s="707">
        <v>22</v>
      </c>
      <c r="J24" s="922"/>
      <c r="V24" s="675">
        <v>15</v>
      </c>
    </row>
    <row s="9589" customFormat="1" customHeight="1" ht="1.05">
      <c r="A25" s="929"/>
      <c r="C25" s="346"/>
      <c r="D25" s="679"/>
      <c r="E25" s="679"/>
      <c r="F25" s="679"/>
      <c r="G25" s="707"/>
      <c r="H25" s="922"/>
      <c r="I25" s="707" t="s">
        <v>116</v>
      </c>
      <c r="J25" s="922"/>
      <c r="K25" s="587"/>
      <c r="U25" s="845"/>
      <c r="V25" s="928">
        <v>1</v>
      </c>
    </row>
    <row customHeight="1" ht="15.75">
      <c r="C26" s="346"/>
      <c r="D26" s="881"/>
      <c r="E26" s="2537" t="s">
        <v>104</v>
      </c>
      <c r="F26" s="2538"/>
      <c r="G26" s="2565" t="str">
        <f>IF(G25="","",INDEX(DIFFERENTIATION_UNMERGE_VD,MATCH(G25,DIFFERENTIATION_ID_DIFF,0)))</f>
        <v/>
      </c>
      <c r="H26" s="2566"/>
      <c r="I26" s="2565">
        <f>IF(I25="","",INDEX(DIFFERENTIATION_UNMERGE_VD,MATCH(I25,DIFFERENTIATION_ID_DIFF,0)))</f>
        <v>0</v>
      </c>
      <c r="J26" s="2566"/>
      <c r="K26" s="2345" t="s">
        <v>304</v>
      </c>
      <c r="V26" s="675">
        <v>15</v>
      </c>
    </row>
    <row s="9589" customFormat="1" customHeight="1" ht="15.75">
      <c r="A27" s="929"/>
      <c r="C27" s="346"/>
      <c r="D27" s="881"/>
      <c r="E27" s="2537" t="s">
        <v>576</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9589" customFormat="1" customHeight="1" ht="15.75">
      <c r="A28" s="929"/>
      <c r="C28" s="346"/>
      <c r="D28" s="881"/>
      <c r="E28" s="2537" t="s">
        <v>577</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9589" customFormat="1" customHeight="1" ht="15.75">
      <c r="A29" s="929"/>
      <c r="C29" s="346"/>
      <c r="D29" s="2539" t="s">
        <v>303</v>
      </c>
      <c r="E29" s="2540"/>
      <c r="F29" s="2540"/>
      <c r="G29" s="1057"/>
      <c r="H29" s="1057"/>
      <c r="I29" s="1057"/>
      <c r="J29" s="1058"/>
      <c r="K29" s="2365"/>
      <c r="U29" s="845"/>
      <c r="V29" s="928">
        <v>15</v>
      </c>
    </row>
    <row customHeight="1" ht="35.699999999999996">
      <c r="C30" s="346"/>
      <c r="D30" s="931" t="s">
        <v>87</v>
      </c>
      <c r="E30" s="930" t="s">
        <v>305</v>
      </c>
      <c r="F30" s="930" t="s">
        <v>578</v>
      </c>
      <c r="G30" s="978" t="s">
        <v>306</v>
      </c>
      <c r="H30" s="977" t="s">
        <v>393</v>
      </c>
      <c r="I30" s="854" t="s">
        <v>306</v>
      </c>
      <c r="J30" s="635" t="s">
        <v>393</v>
      </c>
      <c r="K30" s="2371"/>
      <c r="V30" s="675">
        <v>34</v>
      </c>
    </row>
    <row customHeight="1" ht="15" hidden="1">
      <c r="C31" s="346"/>
      <c r="D31" s="763"/>
      <c r="E31" s="763"/>
      <c r="F31" s="763"/>
      <c r="G31" s="829"/>
      <c r="H31" s="829"/>
      <c r="I31" s="829"/>
      <c r="J31" s="829"/>
      <c r="K31" s="459"/>
      <c r="V31" s="675">
        <v>0</v>
      </c>
    </row>
    <row customHeight="1" ht="24">
      <c r="A32" s="675"/>
      <c r="B32" s="675" t="s">
        <v>962</v>
      </c>
      <c r="C32" s="696"/>
      <c r="D32" s="862">
        <v>1</v>
      </c>
      <c r="E32" s="863" t="s">
        <v>963</v>
      </c>
      <c r="F32" s="861" t="s">
        <v>309</v>
      </c>
      <c r="G32" s="983" t="s">
        <v>309</v>
      </c>
      <c r="H32" s="983" t="s">
        <v>309</v>
      </c>
      <c r="I32" s="861" t="s">
        <v>309</v>
      </c>
      <c r="J32" s="861" t="s">
        <v>309</v>
      </c>
      <c r="K32" s="459"/>
      <c r="V32" s="675">
        <v>23</v>
      </c>
    </row>
    <row customHeight="1" ht="11.549999999999999">
      <c r="A33" s="675"/>
      <c r="C33" s="675"/>
      <c r="D33" s="517"/>
      <c r="E33" s="750" t="s">
        <v>598</v>
      </c>
      <c r="F33" s="742"/>
      <c r="G33" s="742"/>
      <c r="H33" s="742"/>
      <c r="I33" s="742"/>
      <c r="J33" s="742"/>
      <c r="K33" s="743"/>
      <c r="U33" s="675"/>
      <c r="V33" s="675">
        <v>11</v>
      </c>
    </row>
    <row customHeight="1" ht="24">
      <c r="A34" s="675"/>
      <c r="B34" s="751" t="s">
        <v>648</v>
      </c>
      <c r="C34" s="696"/>
      <c r="D34" s="862">
        <v>2</v>
      </c>
      <c r="E34" s="863" t="s">
        <v>964</v>
      </c>
      <c r="F34" s="990" t="s">
        <v>309</v>
      </c>
      <c r="G34" s="990" t="s">
        <v>309</v>
      </c>
      <c r="H34" s="990" t="s">
        <v>309</v>
      </c>
      <c r="I34" s="861"/>
      <c r="J34" s="861"/>
      <c r="K34" s="459"/>
      <c r="V34" s="675">
        <v>23</v>
      </c>
    </row>
    <row customHeight="1" ht="11.549999999999999">
      <c r="A35" s="675"/>
      <c r="C35" s="675"/>
      <c r="D35" s="517"/>
      <c r="E35" s="750" t="s">
        <v>965</v>
      </c>
      <c r="F35" s="742"/>
      <c r="G35" s="864"/>
      <c r="H35" s="742"/>
      <c r="I35" s="864"/>
      <c r="J35" s="742"/>
      <c r="K35" s="743"/>
      <c r="U35" s="675"/>
      <c r="V35" s="675">
        <v>11</v>
      </c>
    </row>
    <row customHeight="1" ht="71.25">
      <c r="A36" s="675"/>
      <c r="B36" s="675" t="s">
        <v>966</v>
      </c>
      <c r="C36" s="696"/>
      <c r="D36" s="862">
        <v>3</v>
      </c>
      <c r="E36" s="863" t="s">
        <v>967</v>
      </c>
      <c r="F36" s="865" t="s">
        <v>309</v>
      </c>
      <c r="G36" s="984" t="s">
        <v>968</v>
      </c>
      <c r="H36" s="983" t="s">
        <v>309</v>
      </c>
      <c r="I36" s="694" t="s">
        <v>968</v>
      </c>
      <c r="J36" s="861" t="s">
        <v>309</v>
      </c>
      <c r="K36" s="459" t="s">
        <v>969</v>
      </c>
      <c r="V36" s="675">
        <v>68</v>
      </c>
    </row>
    <row customHeight="1" ht="11.549999999999999">
      <c r="A37" s="675"/>
      <c r="C37" s="675"/>
      <c r="D37" s="517"/>
      <c r="E37" s="750" t="s">
        <v>970</v>
      </c>
      <c r="F37" s="742"/>
      <c r="G37" s="864"/>
      <c r="H37" s="864"/>
      <c r="I37" s="864"/>
      <c r="J37" s="864"/>
      <c r="K37" s="743"/>
      <c r="U37" s="675"/>
      <c r="V37" s="675">
        <v>11</v>
      </c>
    </row>
    <row customHeight="1" ht="71.25">
      <c r="A38" s="675"/>
      <c r="B38" s="675" t="s">
        <v>971</v>
      </c>
      <c r="C38" s="696"/>
      <c r="D38" s="862">
        <v>4</v>
      </c>
      <c r="E38" s="863" t="s">
        <v>972</v>
      </c>
      <c r="F38" s="865" t="s">
        <v>309</v>
      </c>
      <c r="G38" s="984" t="s">
        <v>968</v>
      </c>
      <c r="H38" s="985" t="s">
        <v>309</v>
      </c>
      <c r="I38" s="694" t="s">
        <v>968</v>
      </c>
      <c r="J38" s="691" t="s">
        <v>309</v>
      </c>
      <c r="K38" s="849" t="s">
        <v>973</v>
      </c>
      <c r="V38" s="675">
        <v>68</v>
      </c>
    </row>
    <row customHeight="1" ht="11.549999999999999">
      <c r="A39" s="675"/>
      <c r="C39" s="675"/>
      <c r="D39" s="517"/>
      <c r="E39" s="750" t="s">
        <v>974</v>
      </c>
      <c r="F39" s="742"/>
      <c r="G39" s="742"/>
      <c r="H39" s="866"/>
      <c r="I39" s="742"/>
      <c r="J39" s="866"/>
      <c r="K39" s="743"/>
      <c r="U39" s="675"/>
      <c r="V39" s="675">
        <v>11</v>
      </c>
    </row>
    <row customHeight="1" ht="22.5" hidden="1">
      <c r="A40" s="619" t="s">
        <v>81</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66426-A4E5-B9E8-43DE-127BE1E1691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402" width="6.7109375" hidden="1" customWidth="1"/>
    <col min="4" max="4" style="9666" width="6.7109375" hidden="1" customWidth="1"/>
    <col min="5" max="5" style="9589" width="3.00390625" customWidth="1"/>
    <col min="6" max="6" style="9589" width="6.00390625" customWidth="1"/>
    <col min="7" max="7" style="9589" width="37.00390625" customWidth="1"/>
    <col min="8" max="8" style="9589" width="16.00390625" customWidth="1"/>
    <col min="9" max="10" style="9589" width="19.00390625" customWidth="1"/>
    <col min="11" max="11" style="9589" width="24.00390625" customWidth="1"/>
    <col min="12" max="13" style="9589" width="25.00390625" customWidth="1"/>
    <col min="14" max="16" style="9589" width="17.00390625" customWidth="1"/>
    <col min="17" max="24" style="9589" width="19.00390625" customWidth="1"/>
    <col min="25" max="25" style="9589" width="7.00390625" customWidth="1"/>
    <col min="26" max="26" style="9589" width="3.00390625" customWidth="1"/>
    <col min="27" max="27" style="9589" width="6.00390625" customWidth="1"/>
    <col min="28" max="28" style="9589" width="34.00390625" customWidth="1"/>
    <col min="29" max="30" style="9589" width="8.00390625" customWidth="1"/>
    <col min="31" max="31" style="9589" width="9.140625" hidden="1"/>
  </cols>
  <sheetData>
    <row s="9666" customFormat="1" customHeight="1" ht="10.5" hidden="1">
      <c r="A1" s="1065"/>
      <c r="B1" s="1065"/>
      <c r="C1" s="1065"/>
      <c r="E1" s="707"/>
      <c r="H1" s="1330"/>
      <c r="AE1" s="587" t="s">
        <v>14</v>
      </c>
    </row>
    <row customHeight="1" ht="10.5" hidden="1">
      <c r="AE2" s="928">
        <v>0</v>
      </c>
    </row>
    <row s="9553" customFormat="1" customHeight="1" ht="10.5" hidden="1">
      <c r="A3" s="1065"/>
      <c r="B3" s="1065"/>
      <c r="C3" s="1065"/>
      <c r="D3" s="587"/>
      <c r="E3" s="532"/>
      <c r="G3" s="1802" t="s">
        <v>975</v>
      </c>
      <c r="H3" s="1326"/>
      <c r="AE3" s="929">
        <v>0</v>
      </c>
    </row>
    <row customHeight="1" ht="3">
      <c r="AE4" s="928">
        <v>3</v>
      </c>
    </row>
    <row customHeight="1" ht="27.299999999999997">
      <c r="F5" s="2418" t="str">
        <f>IP_NAME_FORM</f>
        <v>Форма 7. Информация об инвестиционных программах организации холодного водоснабжения и отчетах об их исполнении</v>
      </c>
      <c r="G5" s="2418"/>
      <c r="H5" s="2418"/>
      <c r="I5" s="2418"/>
      <c r="J5" s="2418"/>
      <c r="K5" s="2418"/>
      <c r="M5" s="752"/>
      <c r="AB5" s="1076"/>
      <c r="AE5" s="928">
        <v>26</v>
      </c>
    </row>
    <row s="9589" customFormat="1" customHeight="1" ht="16.8">
      <c r="A6" s="1336"/>
      <c r="B6" s="1336"/>
      <c r="C6" s="1336"/>
      <c r="D6" s="1330"/>
      <c r="E6" s="1805"/>
      <c r="F6" s="2419" t="str">
        <f>IF(org=0,"Не определено",org)</f>
        <v>МУП "Водоканал"</v>
      </c>
      <c r="G6" s="2419"/>
      <c r="H6" s="2419"/>
      <c r="I6" s="2419"/>
      <c r="J6" s="2419"/>
      <c r="K6" s="2419"/>
      <c r="M6" s="752"/>
      <c r="AB6" s="1318"/>
      <c r="AE6" s="1801">
        <v>16</v>
      </c>
    </row>
    <row customHeight="1" ht="10.5">
      <c r="AE7" s="928">
        <v>10</v>
      </c>
    </row>
    <row customHeight="1" ht="10.5">
      <c r="A8" s="1221"/>
      <c r="B8" s="1221"/>
      <c r="C8" s="1221"/>
      <c r="F8" s="2271" t="s">
        <v>303</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87</v>
      </c>
      <c r="G9" s="2297" t="s">
        <v>975</v>
      </c>
      <c r="H9" s="2345" t="s">
        <v>976</v>
      </c>
      <c r="I9" s="2297" t="s">
        <v>977</v>
      </c>
      <c r="J9" s="2297" t="s">
        <v>978</v>
      </c>
      <c r="K9" s="2297" t="s">
        <v>979</v>
      </c>
      <c r="L9" s="2297" t="s">
        <v>980</v>
      </c>
      <c r="M9" s="2297" t="s">
        <v>981</v>
      </c>
      <c r="N9" s="2379" t="s">
        <v>982</v>
      </c>
      <c r="O9" s="2379"/>
      <c r="P9" s="2379"/>
      <c r="Q9" s="2569" t="s">
        <v>983</v>
      </c>
      <c r="R9" s="2570"/>
      <c r="S9" s="2570"/>
      <c r="T9" s="2571"/>
      <c r="U9" s="2569" t="s">
        <v>984</v>
      </c>
      <c r="V9" s="2570"/>
      <c r="W9" s="2570"/>
      <c r="X9" s="2571"/>
      <c r="Y9" s="2271" t="s">
        <v>985</v>
      </c>
      <c r="Z9" s="2272"/>
      <c r="AA9" s="2272"/>
      <c r="AB9" s="2273"/>
      <c r="AE9" s="928">
        <v>41</v>
      </c>
    </row>
    <row customHeight="1" ht="43.050000000000004">
      <c r="A10" s="1075"/>
      <c r="B10" s="1075"/>
      <c r="C10" s="1075"/>
      <c r="F10" s="2345"/>
      <c r="G10" s="2345"/>
      <c r="H10" s="2402"/>
      <c r="I10" s="2345"/>
      <c r="J10" s="2345"/>
      <c r="K10" s="2345"/>
      <c r="L10" s="2345"/>
      <c r="M10" s="2345"/>
      <c r="N10" s="1073" t="s">
        <v>986</v>
      </c>
      <c r="O10" s="1073" t="s">
        <v>987</v>
      </c>
      <c r="P10" s="1074" t="s">
        <v>988</v>
      </c>
      <c r="Q10" s="1085" t="s">
        <v>88</v>
      </c>
      <c r="R10" s="1085" t="s">
        <v>989</v>
      </c>
      <c r="S10" s="1085" t="s">
        <v>990</v>
      </c>
      <c r="T10" s="1086" t="s">
        <v>991</v>
      </c>
      <c r="U10" s="1085" t="s">
        <v>88</v>
      </c>
      <c r="V10" s="1085" t="s">
        <v>992</v>
      </c>
      <c r="W10" s="1085" t="s">
        <v>990</v>
      </c>
      <c r="X10" s="1086" t="s">
        <v>991</v>
      </c>
      <c r="Y10" s="471" t="s">
        <v>993</v>
      </c>
      <c r="Z10" s="2271" t="s">
        <v>87</v>
      </c>
      <c r="AA10" s="2273"/>
      <c r="AB10" s="1219" t="s">
        <v>994</v>
      </c>
      <c r="AE10" s="928">
        <v>41</v>
      </c>
    </row>
    <row s="9667" customFormat="1" customHeight="1" ht="5.25" hidden="1">
      <c r="A11" s="1222"/>
      <c r="B11" s="1222"/>
      <c r="C11" s="1222"/>
      <c r="E11" s="1220"/>
      <c r="F11" s="2576" t="s">
        <v>379</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995</v>
      </c>
      <c r="AE11" s="681">
        <v>0</v>
      </c>
    </row>
    <row s="9667"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996</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9667" customFormat="1" customHeight="1" ht="10.5">
      <c r="A15" s="1337"/>
      <c r="B15" s="1337"/>
      <c r="C15" s="1337"/>
      <c r="E15" s="688"/>
      <c r="H15" s="681">
        <f>_xlfn.IFERROR(MATCH("нет",IP_MAIN_DIFFERENTIATION_EVENTS_FLAG,0),0)</f>
        <v>0</v>
      </c>
      <c r="AE15" s="681">
        <v>10</v>
      </c>
    </row>
    <row customHeight="1" ht="10.5" hidden="1">
      <c r="A16" s="1065" t="s">
        <v>81</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2F373-5305-9661-D116-DDDB606539E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402" width="4.140625" hidden="1" customWidth="1"/>
    <col min="4" max="4" style="9666" width="4.140625" hidden="1" customWidth="1"/>
    <col min="5" max="5" style="9589" width="3.00390625" customWidth="1"/>
    <col min="6" max="6" style="9589" width="14.00390625" customWidth="1"/>
    <col min="7" max="7" style="9589" width="3.00390625" customWidth="1"/>
    <col min="8" max="8" style="9589" width="7.00390625" customWidth="1"/>
    <col min="9" max="10" style="9589" width="16.00390625" customWidth="1"/>
    <col min="11" max="11" style="9589" width="25.00390625" customWidth="1"/>
    <col min="12" max="12" style="9589" width="7.00390625" customWidth="1"/>
    <col min="13" max="13" style="9589" width="15.00390625" customWidth="1"/>
    <col min="14" max="14" style="9589" width="3.00390625" customWidth="1"/>
    <col min="15" max="15" style="9589" width="4.00390625" customWidth="1"/>
    <col min="16" max="16" style="9589" width="8.00390625" customWidth="1"/>
    <col min="17" max="17" style="9589" width="21.00390625" customWidth="1"/>
    <col min="18" max="18" style="9589" width="14.00390625" customWidth="1"/>
    <col min="19" max="20" style="9589" width="17.00390625" customWidth="1"/>
    <col min="21" max="21" style="9589" width="9.00390625" customWidth="1"/>
    <col min="22" max="22" style="9589" width="12.00390625" customWidth="1"/>
    <col min="23" max="23" style="9589" width="9.00390625" customWidth="1"/>
    <col min="24" max="24" style="9589" width="21.00390625" customWidth="1"/>
    <col min="25" max="25" style="9589" width="12.00390625" customWidth="1"/>
    <col min="26" max="26" style="9589" width="3.00390625" customWidth="1"/>
    <col min="27" max="27" style="9589" width="6.00390625" customWidth="1"/>
    <col min="28" max="28" style="9589" width="38.00390625" customWidth="1"/>
    <col min="29" max="29" style="9589" width="15.00390625" customWidth="1"/>
    <col min="30" max="30" style="9589" width="37.57421875" hidden="1" customWidth="1"/>
    <col min="31" max="31" style="9589" width="15.7109375" hidden="1" customWidth="1"/>
    <col min="32" max="34" style="9589" width="16.00390625" customWidth="1"/>
    <col min="35" max="37" style="9589" width="16.7109375" hidden="1" customWidth="1"/>
    <col min="38" max="58" style="9589" width="8.00390625" customWidth="1"/>
    <col min="59" max="59" style="9589" width="9.140625" hidden="1"/>
  </cols>
  <sheetData>
    <row s="9666" customFormat="1" customHeight="1" ht="10.5" hidden="1">
      <c r="A1" s="1065"/>
      <c r="B1" s="1065"/>
      <c r="C1" s="1065"/>
      <c r="E1" s="707"/>
      <c r="H1" s="1330"/>
      <c r="L1" s="1298"/>
      <c r="M1" s="1298"/>
      <c r="AD1" s="1298"/>
      <c r="AH1" s="1317"/>
      <c r="AI1" s="1310"/>
      <c r="BG1" s="587" t="s">
        <v>14</v>
      </c>
    </row>
    <row customHeight="1" ht="10.5" hidden="1">
      <c r="BG2" s="928">
        <v>0</v>
      </c>
    </row>
    <row s="9553"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холодного водоснабжения и отчетах об их исполнении</v>
      </c>
      <c r="G5" s="2418"/>
      <c r="H5" s="2418"/>
      <c r="I5" s="2418"/>
      <c r="J5" s="2418"/>
      <c r="K5" s="2418"/>
      <c r="L5" s="1305"/>
      <c r="M5" s="1305"/>
      <c r="AG5" s="1076"/>
      <c r="AH5" s="1318"/>
      <c r="BG5" s="928">
        <v>26</v>
      </c>
    </row>
    <row customHeight="1" ht="10.5">
      <c r="F6" s="2346" t="str">
        <f>IF(org=0,"Не определено",org)</f>
        <v>МУП "Водоканал"</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303</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997</v>
      </c>
      <c r="G9" s="2579" t="s">
        <v>998</v>
      </c>
      <c r="H9" s="2580"/>
      <c r="I9" s="2297" t="s">
        <v>999</v>
      </c>
      <c r="J9" s="2297"/>
      <c r="K9" s="2297" t="s">
        <v>1000</v>
      </c>
      <c r="L9" s="2297"/>
      <c r="M9" s="2297"/>
      <c r="N9" s="2297"/>
      <c r="O9" s="2297"/>
      <c r="P9" s="2297"/>
      <c r="Q9" s="2297"/>
      <c r="R9" s="2297"/>
      <c r="S9" s="2297"/>
      <c r="T9" s="2297"/>
      <c r="U9" s="2297"/>
      <c r="V9" s="2297"/>
      <c r="W9" s="2297"/>
      <c r="X9" s="2297"/>
      <c r="Y9" s="2297"/>
      <c r="Z9" s="2362" t="s">
        <v>1001</v>
      </c>
      <c r="AA9" s="2363"/>
      <c r="AB9" s="2297" t="s">
        <v>1002</v>
      </c>
      <c r="AC9" s="2297"/>
      <c r="AD9" s="2297"/>
      <c r="AE9" s="2297"/>
      <c r="AF9" s="2345" t="s">
        <v>1003</v>
      </c>
      <c r="AG9" s="2297" t="s">
        <v>1004</v>
      </c>
      <c r="AH9" s="2297"/>
      <c r="AI9" s="2345" t="s">
        <v>1005</v>
      </c>
      <c r="AJ9" s="2297" t="s">
        <v>1006</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1007</v>
      </c>
      <c r="L10" s="2271" t="s">
        <v>1008</v>
      </c>
      <c r="M10" s="2273"/>
      <c r="N10" s="2297" t="s">
        <v>1009</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9589" customFormat="1" customHeight="1" ht="25.2">
      <c r="A11" s="1299"/>
      <c r="B11" s="1299"/>
      <c r="C11" s="1299"/>
      <c r="D11" s="1298"/>
      <c r="E11" s="1300"/>
      <c r="F11" s="2578"/>
      <c r="G11" s="2581"/>
      <c r="H11" s="2582"/>
      <c r="I11" s="2297"/>
      <c r="J11" s="2297"/>
      <c r="K11" s="2297"/>
      <c r="L11" s="2345" t="s">
        <v>1010</v>
      </c>
      <c r="M11" s="2345" t="s">
        <v>1011</v>
      </c>
      <c r="N11" s="2297" t="s">
        <v>1012</v>
      </c>
      <c r="O11" s="2297"/>
      <c r="P11" s="2588" t="s">
        <v>993</v>
      </c>
      <c r="Q11" s="2588" t="s">
        <v>1013</v>
      </c>
      <c r="R11" s="2588" t="s">
        <v>1014</v>
      </c>
      <c r="S11" s="2588" t="s">
        <v>1015</v>
      </c>
      <c r="T11" s="2588"/>
      <c r="U11" s="2588"/>
      <c r="V11" s="2588"/>
      <c r="W11" s="2588"/>
      <c r="X11" s="2588"/>
      <c r="Y11" s="2588"/>
      <c r="Z11" s="2364"/>
      <c r="AA11" s="2365"/>
      <c r="AB11" s="2297" t="s">
        <v>1016</v>
      </c>
      <c r="AC11" s="2297"/>
      <c r="AD11" s="2271" t="s">
        <v>1017</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88</v>
      </c>
      <c r="J12" s="1323" t="s">
        <v>1018</v>
      </c>
      <c r="K12" s="2297"/>
      <c r="L12" s="2402"/>
      <c r="M12" s="2402"/>
      <c r="N12" s="2297"/>
      <c r="O12" s="2297"/>
      <c r="P12" s="2588"/>
      <c r="Q12" s="2588"/>
      <c r="R12" s="2588"/>
      <c r="S12" s="1304" t="s">
        <v>85</v>
      </c>
      <c r="T12" s="1304" t="s">
        <v>86</v>
      </c>
      <c r="U12" s="1304" t="s">
        <v>84</v>
      </c>
      <c r="V12" s="1304" t="s">
        <v>1019</v>
      </c>
      <c r="W12" s="1304" t="s">
        <v>84</v>
      </c>
      <c r="X12" s="1304" t="s">
        <v>1020</v>
      </c>
      <c r="Y12" s="1304" t="s">
        <v>1021</v>
      </c>
      <c r="Z12" s="2370"/>
      <c r="AA12" s="2371"/>
      <c r="AB12" s="1311" t="s">
        <v>1022</v>
      </c>
      <c r="AC12" s="1311" t="s">
        <v>1023</v>
      </c>
      <c r="AD12" s="1311" t="s">
        <v>1022</v>
      </c>
      <c r="AE12" s="1311" t="s">
        <v>1023</v>
      </c>
      <c r="AF12" s="2402"/>
      <c r="AG12" s="1324" t="s">
        <v>1024</v>
      </c>
      <c r="AH12" s="1324" t="s">
        <v>1025</v>
      </c>
      <c r="AI12" s="2402"/>
      <c r="AJ12" s="1324" t="s">
        <v>1024</v>
      </c>
      <c r="AK12" s="1324" t="s">
        <v>1025</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1026</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81</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915AE-B4F7-156D-3679-259C00881EA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402" width="4.140625" hidden="1" customWidth="1"/>
    <col min="4" max="4" style="9666" width="4.140625" hidden="1" customWidth="1"/>
    <col min="5" max="5" style="9589" width="3.00390625" customWidth="1"/>
    <col min="6" max="6" style="9589" width="6.00390625" customWidth="1"/>
    <col min="7" max="7" style="9589" width="60.00390625" customWidth="1"/>
    <col min="8" max="9" style="9589" width="21.7109375" hidden="1" customWidth="1"/>
    <col min="10" max="10" style="9589" width="0.140625" customWidth="1"/>
    <col min="11" max="11" style="9589" width="1.00390625" customWidth="1"/>
    <col min="12" max="22" style="9589" width="8.00390625" customWidth="1"/>
    <col min="23" max="23" style="9589" width="9.140625" hidden="1"/>
  </cols>
  <sheetData>
    <row s="9666" customFormat="1" customHeight="1" ht="10.5" hidden="1">
      <c r="A1" s="1336"/>
      <c r="B1" s="1336"/>
      <c r="C1" s="1336"/>
      <c r="E1" s="707"/>
      <c r="W1" s="1330" t="s">
        <v>14</v>
      </c>
    </row>
    <row customHeight="1" ht="10.5" hidden="1">
      <c r="W2" s="1325">
        <v>0</v>
      </c>
    </row>
    <row s="9553"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418"/>
      <c r="H5" s="2418"/>
      <c r="I5" s="2418"/>
      <c r="J5" s="2418"/>
      <c r="W5" s="1325">
        <v>26</v>
      </c>
    </row>
    <row customHeight="1" ht="10.5">
      <c r="F6" s="2346" t="str">
        <f>IF(org=0,"Не определено",org)</f>
        <v>МУП "Водоканал"</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9667"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303</v>
      </c>
      <c r="G9" s="2590"/>
      <c r="H9" s="2590"/>
      <c r="I9" s="2590"/>
      <c r="J9" s="2590"/>
      <c r="K9" s="1410"/>
      <c r="L9" s="1327"/>
      <c r="M9" s="1327"/>
      <c r="N9" s="1327"/>
      <c r="O9" s="1327"/>
      <c r="P9" s="1327"/>
      <c r="Q9" s="1327"/>
      <c r="R9" s="1327"/>
      <c r="S9" s="1327"/>
      <c r="T9" s="1327"/>
      <c r="U9" s="1327"/>
      <c r="V9" s="1327"/>
      <c r="W9" s="1325">
        <v>10</v>
      </c>
    </row>
    <row customHeight="1" ht="25.2">
      <c r="E10" s="1327"/>
      <c r="F10" s="2593" t="s">
        <v>87</v>
      </c>
      <c r="G10" s="2598" t="s">
        <v>1027</v>
      </c>
      <c r="H10" s="2596" t="s">
        <v>1028</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1029</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1030</v>
      </c>
      <c r="G14" s="2591" t="s">
        <v>1031</v>
      </c>
      <c r="H14" s="2591"/>
      <c r="I14" s="2591"/>
      <c r="J14" s="2591"/>
      <c r="K14" s="1404"/>
      <c r="W14" s="1325">
        <v>11</v>
      </c>
    </row>
    <row customHeight="1" ht="11.549999999999999">
      <c r="F15" s="1400">
        <v>1</v>
      </c>
      <c r="G15" s="860" t="s">
        <v>1032</v>
      </c>
      <c r="H15" s="1406">
        <f>SUM(I15:J15)</f>
        <v>0</v>
      </c>
      <c r="I15" s="1406">
        <f>SUM(I16:I27)</f>
        <v>0</v>
      </c>
      <c r="J15" s="1395"/>
      <c r="K15" s="1404"/>
      <c r="W15" s="1325">
        <v>11</v>
      </c>
    </row>
    <row customHeight="1" ht="24">
      <c r="F16" s="1400" t="s">
        <v>1033</v>
      </c>
      <c r="G16" s="1407" t="s">
        <v>1034</v>
      </c>
      <c r="H16" s="1406">
        <f>SUM(I16:J16)</f>
        <v>0</v>
      </c>
      <c r="I16" s="1405"/>
      <c r="J16" s="1395"/>
      <c r="K16" s="1404"/>
      <c r="W16" s="1325">
        <v>23</v>
      </c>
    </row>
    <row customHeight="1" ht="24">
      <c r="F17" s="1400" t="s">
        <v>1035</v>
      </c>
      <c r="G17" s="1407" t="s">
        <v>1036</v>
      </c>
      <c r="H17" s="1406">
        <f>SUM(I17:J17)</f>
        <v>0</v>
      </c>
      <c r="I17" s="1405"/>
      <c r="J17" s="1395"/>
      <c r="K17" s="1404"/>
      <c r="W17" s="1325">
        <v>23</v>
      </c>
    </row>
    <row customHeight="1" ht="35.699999999999996">
      <c r="F18" s="1400" t="s">
        <v>1037</v>
      </c>
      <c r="G18" s="1407" t="s">
        <v>1038</v>
      </c>
      <c r="H18" s="1406">
        <f>SUM(I18:J18)</f>
        <v>0</v>
      </c>
      <c r="I18" s="1405"/>
      <c r="J18" s="1395"/>
      <c r="K18" s="1404"/>
      <c r="W18" s="1325">
        <v>34</v>
      </c>
    </row>
    <row customHeight="1" ht="35.699999999999996">
      <c r="F19" s="1400" t="s">
        <v>1039</v>
      </c>
      <c r="G19" s="1407" t="s">
        <v>1040</v>
      </c>
      <c r="H19" s="1406">
        <f>SUM(I19:J19)</f>
        <v>0</v>
      </c>
      <c r="I19" s="1405"/>
      <c r="J19" s="1395"/>
      <c r="K19" s="1404"/>
      <c r="W19" s="1325">
        <v>34</v>
      </c>
    </row>
    <row customHeight="1" ht="48.29999999999999">
      <c r="F20" s="1400" t="s">
        <v>1041</v>
      </c>
      <c r="G20" s="1407" t="s">
        <v>1042</v>
      </c>
      <c r="H20" s="1406">
        <f>SUM(I20:J20)</f>
        <v>0</v>
      </c>
      <c r="I20" s="1405"/>
      <c r="J20" s="1395"/>
      <c r="K20" s="1404"/>
      <c r="W20" s="1325">
        <v>46</v>
      </c>
    </row>
    <row customHeight="1" ht="35.699999999999996">
      <c r="F21" s="1400" t="s">
        <v>1043</v>
      </c>
      <c r="G21" s="1407" t="s">
        <v>1044</v>
      </c>
      <c r="H21" s="1406">
        <f>SUM(I21:J21)</f>
        <v>0</v>
      </c>
      <c r="I21" s="1405"/>
      <c r="J21" s="1395"/>
      <c r="K21" s="1404"/>
      <c r="W21" s="1325">
        <v>34</v>
      </c>
    </row>
    <row customHeight="1" ht="35.699999999999996">
      <c r="F22" s="1400" t="s">
        <v>1045</v>
      </c>
      <c r="G22" s="1407" t="s">
        <v>1046</v>
      </c>
      <c r="H22" s="1406">
        <f>SUM(I22:J22)</f>
        <v>0</v>
      </c>
      <c r="I22" s="1405"/>
      <c r="J22" s="1395"/>
      <c r="K22" s="1404"/>
      <c r="W22" s="1325">
        <v>34</v>
      </c>
    </row>
    <row customHeight="1" ht="24">
      <c r="F23" s="1400" t="s">
        <v>1047</v>
      </c>
      <c r="G23" s="1407" t="s">
        <v>1048</v>
      </c>
      <c r="H23" s="1406">
        <f>SUM(I23:J23)</f>
        <v>0</v>
      </c>
      <c r="I23" s="1405"/>
      <c r="J23" s="1395"/>
      <c r="K23" s="1404"/>
      <c r="W23" s="1325">
        <v>23</v>
      </c>
    </row>
    <row customHeight="1" ht="24">
      <c r="F24" s="1400" t="s">
        <v>1049</v>
      </c>
      <c r="G24" s="1407" t="s">
        <v>1050</v>
      </c>
      <c r="H24" s="1406">
        <f>SUM(I24:J24)</f>
        <v>0</v>
      </c>
      <c r="I24" s="1405"/>
      <c r="J24" s="1395"/>
      <c r="K24" s="1404"/>
      <c r="W24" s="1325">
        <v>23</v>
      </c>
    </row>
    <row customHeight="1" ht="35.699999999999996">
      <c r="F25" s="1400" t="s">
        <v>1051</v>
      </c>
      <c r="G25" s="1407" t="s">
        <v>1052</v>
      </c>
      <c r="H25" s="1406">
        <f>SUM(I25:J25)</f>
        <v>0</v>
      </c>
      <c r="I25" s="1405"/>
      <c r="J25" s="1395"/>
      <c r="K25" s="1404"/>
      <c r="W25" s="1325">
        <v>34</v>
      </c>
    </row>
    <row customHeight="1" ht="35.699999999999996">
      <c r="F26" s="1400" t="s">
        <v>1053</v>
      </c>
      <c r="G26" s="1407" t="s">
        <v>1054</v>
      </c>
      <c r="H26" s="1406">
        <f>SUM(I26:J26)</f>
        <v>0</v>
      </c>
      <c r="I26" s="1405"/>
      <c r="J26" s="1395"/>
      <c r="K26" s="1404"/>
      <c r="W26" s="1325">
        <v>34</v>
      </c>
    </row>
    <row customHeight="1" ht="11.549999999999999">
      <c r="F27" s="1400" t="s">
        <v>1055</v>
      </c>
      <c r="G27" s="1407" t="s">
        <v>1056</v>
      </c>
      <c r="H27" s="1406">
        <f>SUM(I27:J27)</f>
        <v>0</v>
      </c>
      <c r="I27" s="1405"/>
      <c r="J27" s="1395"/>
      <c r="K27" s="1404"/>
      <c r="W27" s="1325">
        <v>11</v>
      </c>
    </row>
    <row customHeight="1" ht="11.549999999999999">
      <c r="F28" s="1400">
        <v>2</v>
      </c>
      <c r="G28" s="860" t="s">
        <v>1057</v>
      </c>
      <c r="H28" s="1406">
        <f>SUM(I28:J28)</f>
        <v>0</v>
      </c>
      <c r="I28" s="1406">
        <f>SUM(I29:I31)</f>
        <v>0</v>
      </c>
      <c r="J28" s="1395"/>
      <c r="K28" s="1404"/>
      <c r="W28" s="1325">
        <v>11</v>
      </c>
    </row>
    <row customHeight="1" ht="11.549999999999999">
      <c r="F29" s="1400" t="s">
        <v>720</v>
      </c>
      <c r="G29" s="1407" t="s">
        <v>1058</v>
      </c>
      <c r="H29" s="1406">
        <f>SUM(I29:J29)</f>
        <v>0</v>
      </c>
      <c r="I29" s="1405"/>
      <c r="J29" s="1395"/>
      <c r="K29" s="1404"/>
      <c r="W29" s="1325">
        <v>11</v>
      </c>
    </row>
    <row customHeight="1" ht="11.549999999999999">
      <c r="F30" s="1400" t="s">
        <v>310</v>
      </c>
      <c r="G30" s="1407" t="s">
        <v>1059</v>
      </c>
      <c r="H30" s="1406">
        <f>SUM(I30:J30)</f>
        <v>0</v>
      </c>
      <c r="I30" s="1405"/>
      <c r="J30" s="1395"/>
      <c r="K30" s="1404"/>
      <c r="W30" s="1325">
        <v>11</v>
      </c>
    </row>
    <row customHeight="1" ht="11.549999999999999">
      <c r="F31" s="1400" t="s">
        <v>313</v>
      </c>
      <c r="G31" s="1407" t="s">
        <v>1060</v>
      </c>
      <c r="H31" s="1406">
        <f>SUM(I31:J31)</f>
        <v>0</v>
      </c>
      <c r="I31" s="1405"/>
      <c r="J31" s="1395"/>
      <c r="K31" s="1404"/>
      <c r="W31" s="1325">
        <v>11</v>
      </c>
    </row>
    <row customHeight="1" ht="11.549999999999999">
      <c r="F32" s="1400">
        <v>3</v>
      </c>
      <c r="G32" s="860" t="s">
        <v>1061</v>
      </c>
      <c r="H32" s="1406">
        <f>SUM(I32:J32)</f>
        <v>0</v>
      </c>
      <c r="I32" s="1406">
        <f>SUM(I33:I34)</f>
        <v>0</v>
      </c>
      <c r="J32" s="1395"/>
      <c r="K32" s="1404"/>
      <c r="W32" s="1325">
        <v>11</v>
      </c>
    </row>
    <row customHeight="1" ht="48.29999999999999">
      <c r="F33" s="1400" t="s">
        <v>327</v>
      </c>
      <c r="G33" s="1407" t="s">
        <v>1062</v>
      </c>
      <c r="H33" s="1406">
        <f>SUM(I33:J33)</f>
        <v>0</v>
      </c>
      <c r="I33" s="1405"/>
      <c r="J33" s="1395"/>
      <c r="K33" s="1404"/>
      <c r="W33" s="1325">
        <v>46</v>
      </c>
    </row>
    <row customHeight="1" ht="11.549999999999999">
      <c r="F34" s="1400" t="s">
        <v>335</v>
      </c>
      <c r="G34" s="1407" t="s">
        <v>1063</v>
      </c>
      <c r="H34" s="1406">
        <f>SUM(I34:J34)</f>
        <v>0</v>
      </c>
      <c r="I34" s="1405"/>
      <c r="J34" s="1395"/>
      <c r="K34" s="1404"/>
      <c r="W34" s="1325">
        <v>11</v>
      </c>
    </row>
    <row customHeight="1" ht="11.549999999999999">
      <c r="F35" s="1400">
        <v>4</v>
      </c>
      <c r="G35" s="860" t="s">
        <v>1064</v>
      </c>
      <c r="H35" s="1406">
        <f>SUM(I35:J35)</f>
        <v>0</v>
      </c>
      <c r="I35" s="1405"/>
      <c r="J35" s="1395"/>
      <c r="K35" s="1404"/>
      <c r="W35" s="1325">
        <v>11</v>
      </c>
    </row>
    <row customHeight="1" ht="11.549999999999999">
      <c r="F36" s="1400"/>
      <c r="G36" s="863" t="s">
        <v>1065</v>
      </c>
      <c r="H36" s="1406">
        <f>SUM(I36:J36)</f>
        <v>0</v>
      </c>
      <c r="I36" s="1406">
        <f>SUM(I15,I28,I32,I35)</f>
        <v>0</v>
      </c>
      <c r="J36" s="1395"/>
      <c r="K36" s="1404"/>
      <c r="W36" s="1325">
        <v>11</v>
      </c>
    </row>
    <row customHeight="1" ht="29.25">
      <c r="F37" s="1401" t="s">
        <v>1066</v>
      </c>
      <c r="G37" s="2592" t="s">
        <v>1067</v>
      </c>
      <c r="H37" s="2592"/>
      <c r="I37" s="2592"/>
      <c r="J37" s="2592"/>
      <c r="K37" s="1404"/>
      <c r="W37" s="1325">
        <v>28</v>
      </c>
    </row>
    <row customHeight="1" ht="24">
      <c r="F38" s="1400" t="s">
        <v>108</v>
      </c>
      <c r="G38" s="860" t="s">
        <v>1068</v>
      </c>
      <c r="H38" s="1406">
        <f>SUM(I38:J38)</f>
        <v>0</v>
      </c>
      <c r="I38" s="1406">
        <f>SUM(I39,I44,I47)</f>
        <v>0</v>
      </c>
      <c r="J38" s="1395"/>
      <c r="K38" s="1404"/>
      <c r="W38" s="1325">
        <v>23</v>
      </c>
    </row>
    <row customHeight="1" ht="11.549999999999999">
      <c r="F39" s="1400" t="s">
        <v>1033</v>
      </c>
      <c r="G39" s="1407" t="s">
        <v>1032</v>
      </c>
      <c r="H39" s="1406">
        <f>SUM(I39:J39)</f>
        <v>0</v>
      </c>
      <c r="I39" s="1406">
        <f>SUM(I40:I43)</f>
        <v>0</v>
      </c>
      <c r="J39" s="1395"/>
      <c r="K39" s="1404"/>
      <c r="W39" s="1325">
        <v>11</v>
      </c>
    </row>
    <row customHeight="1" ht="24">
      <c r="F40" s="1400" t="s">
        <v>1069</v>
      </c>
      <c r="G40" s="1408" t="s">
        <v>1070</v>
      </c>
      <c r="H40" s="1406">
        <f>SUM(I40:J40)</f>
        <v>0</v>
      </c>
      <c r="I40" s="1405"/>
      <c r="J40" s="1395"/>
      <c r="K40" s="1404"/>
      <c r="W40" s="1325">
        <v>23</v>
      </c>
    </row>
    <row customHeight="1" ht="11.549999999999999">
      <c r="F41" s="1400" t="s">
        <v>1071</v>
      </c>
      <c r="G41" s="1408" t="s">
        <v>1072</v>
      </c>
      <c r="H41" s="1406">
        <f>SUM(I41:J41)</f>
        <v>0</v>
      </c>
      <c r="I41" s="1405"/>
      <c r="J41" s="1395"/>
      <c r="K41" s="1404"/>
      <c r="W41" s="1325">
        <v>11</v>
      </c>
    </row>
    <row customHeight="1" ht="11.549999999999999">
      <c r="F42" s="1400" t="s">
        <v>1073</v>
      </c>
      <c r="G42" s="1408" t="s">
        <v>1074</v>
      </c>
      <c r="H42" s="1406">
        <f>SUM(I42:J42)</f>
        <v>0</v>
      </c>
      <c r="I42" s="1405"/>
      <c r="J42" s="1395"/>
      <c r="K42" s="1404"/>
      <c r="W42" s="1325">
        <v>11</v>
      </c>
    </row>
    <row customHeight="1" ht="35.699999999999996">
      <c r="F43" s="1400" t="s">
        <v>1075</v>
      </c>
      <c r="G43" s="1408" t="s">
        <v>1076</v>
      </c>
      <c r="H43" s="1406">
        <f>SUM(I43:J43)</f>
        <v>0</v>
      </c>
      <c r="I43" s="1405"/>
      <c r="J43" s="1395"/>
      <c r="K43" s="1404"/>
      <c r="W43" s="1325">
        <v>34</v>
      </c>
    </row>
    <row customHeight="1" ht="11.549999999999999">
      <c r="F44" s="1400" t="s">
        <v>1035</v>
      </c>
      <c r="G44" s="1407" t="s">
        <v>1061</v>
      </c>
      <c r="H44" s="1406">
        <f>SUM(I44:J44)</f>
        <v>0</v>
      </c>
      <c r="I44" s="1406">
        <f>SUM(I45:I46)</f>
        <v>0</v>
      </c>
      <c r="J44" s="1395"/>
      <c r="K44" s="1404"/>
      <c r="W44" s="1325">
        <v>11</v>
      </c>
    </row>
    <row customHeight="1" ht="48.29999999999999">
      <c r="F45" s="1400" t="s">
        <v>1077</v>
      </c>
      <c r="G45" s="1408" t="s">
        <v>1062</v>
      </c>
      <c r="H45" s="1406">
        <f>SUM(I45:J45)</f>
        <v>0</v>
      </c>
      <c r="I45" s="1405"/>
      <c r="J45" s="1395"/>
      <c r="K45" s="1404"/>
      <c r="W45" s="1325">
        <v>46</v>
      </c>
    </row>
    <row customHeight="1" ht="11.549999999999999">
      <c r="F46" s="1400" t="s">
        <v>1078</v>
      </c>
      <c r="G46" s="1408" t="s">
        <v>1063</v>
      </c>
      <c r="H46" s="1406">
        <f>SUM(I46:J46)</f>
        <v>0</v>
      </c>
      <c r="I46" s="1405"/>
      <c r="J46" s="1395"/>
      <c r="K46" s="1404"/>
      <c r="W46" s="1325">
        <v>11</v>
      </c>
    </row>
    <row customHeight="1" ht="11.549999999999999">
      <c r="F47" s="1400" t="s">
        <v>1037</v>
      </c>
      <c r="G47" s="1407" t="s">
        <v>1079</v>
      </c>
      <c r="H47" s="1406">
        <f>SUM(I47:J47)</f>
        <v>0</v>
      </c>
      <c r="I47" s="1405"/>
      <c r="J47" s="1395"/>
      <c r="K47" s="1404"/>
      <c r="W47" s="1325">
        <v>11</v>
      </c>
    </row>
    <row customHeight="1" ht="24">
      <c r="F48" s="1400" t="s">
        <v>109</v>
      </c>
      <c r="G48" s="860" t="s">
        <v>1080</v>
      </c>
      <c r="H48" s="1406">
        <f>SUM(I48:J48)</f>
        <v>0</v>
      </c>
      <c r="I48" s="1406">
        <f>SUM(I49,I54,I57)</f>
        <v>0</v>
      </c>
      <c r="J48" s="1395"/>
      <c r="K48" s="1404"/>
      <c r="W48" s="1325">
        <v>23</v>
      </c>
    </row>
    <row customHeight="1" ht="11.549999999999999">
      <c r="F49" s="1400" t="s">
        <v>720</v>
      </c>
      <c r="G49" s="1407" t="s">
        <v>1032</v>
      </c>
      <c r="H49" s="1406">
        <f>SUM(I49:J49)</f>
        <v>0</v>
      </c>
      <c r="I49" s="1406">
        <f>SUM(I50:I53)</f>
        <v>0</v>
      </c>
      <c r="J49" s="1395"/>
      <c r="K49" s="1404"/>
      <c r="W49" s="1325">
        <v>11</v>
      </c>
    </row>
    <row customHeight="1" ht="24">
      <c r="F50" s="1400" t="s">
        <v>723</v>
      </c>
      <c r="G50" s="1408" t="s">
        <v>1070</v>
      </c>
      <c r="H50" s="1406">
        <f>SUM(I50:J50)</f>
        <v>0</v>
      </c>
      <c r="I50" s="1405"/>
      <c r="J50" s="1395"/>
      <c r="K50" s="1404"/>
      <c r="W50" s="1325">
        <v>23</v>
      </c>
    </row>
    <row customHeight="1" ht="11.549999999999999">
      <c r="F51" s="1400" t="s">
        <v>726</v>
      </c>
      <c r="G51" s="1408" t="s">
        <v>1072</v>
      </c>
      <c r="H51" s="1406">
        <f>SUM(I51:J51)</f>
        <v>0</v>
      </c>
      <c r="I51" s="1405"/>
      <c r="J51" s="1395"/>
      <c r="K51" s="1404"/>
      <c r="W51" s="1325">
        <v>11</v>
      </c>
    </row>
    <row customHeight="1" ht="11.549999999999999">
      <c r="F52" s="1400" t="s">
        <v>1081</v>
      </c>
      <c r="G52" s="1408" t="s">
        <v>1074</v>
      </c>
      <c r="H52" s="1406">
        <f>SUM(I52:J52)</f>
        <v>0</v>
      </c>
      <c r="I52" s="1405"/>
      <c r="J52" s="1395"/>
      <c r="K52" s="1404"/>
      <c r="W52" s="1325">
        <v>11</v>
      </c>
    </row>
    <row customHeight="1" ht="35.699999999999996">
      <c r="F53" s="1400" t="s">
        <v>1082</v>
      </c>
      <c r="G53" s="1408" t="s">
        <v>1076</v>
      </c>
      <c r="H53" s="1406">
        <f>SUM(I53:J53)</f>
        <v>0</v>
      </c>
      <c r="I53" s="1405"/>
      <c r="J53" s="1395"/>
      <c r="K53" s="1404"/>
      <c r="W53" s="1325">
        <v>34</v>
      </c>
    </row>
    <row customHeight="1" ht="11.549999999999999">
      <c r="F54" s="1400" t="s">
        <v>310</v>
      </c>
      <c r="G54" s="1407" t="s">
        <v>1061</v>
      </c>
      <c r="H54" s="1406">
        <f>SUM(I54:J54)</f>
        <v>0</v>
      </c>
      <c r="I54" s="1406">
        <f>SUM(I55:I56)</f>
        <v>0</v>
      </c>
      <c r="J54" s="1395"/>
      <c r="K54" s="1404"/>
      <c r="W54" s="1325">
        <v>11</v>
      </c>
    </row>
    <row customHeight="1" ht="48.29999999999999">
      <c r="F55" s="1400" t="s">
        <v>730</v>
      </c>
      <c r="G55" s="1408" t="s">
        <v>1062</v>
      </c>
      <c r="H55" s="1406">
        <f>SUM(I55:J55)</f>
        <v>0</v>
      </c>
      <c r="I55" s="1405"/>
      <c r="J55" s="1395"/>
      <c r="K55" s="1404"/>
      <c r="W55" s="1325">
        <v>46</v>
      </c>
    </row>
    <row customHeight="1" ht="11.549999999999999">
      <c r="F56" s="1400" t="s">
        <v>732</v>
      </c>
      <c r="G56" s="1408" t="s">
        <v>1063</v>
      </c>
      <c r="H56" s="1406">
        <f>SUM(I56:J56)</f>
        <v>0</v>
      </c>
      <c r="I56" s="1405"/>
      <c r="J56" s="1395"/>
      <c r="K56" s="1404"/>
      <c r="W56" s="1325">
        <v>11</v>
      </c>
    </row>
    <row customHeight="1" ht="11.549999999999999">
      <c r="F57" s="1400" t="s">
        <v>313</v>
      </c>
      <c r="G57" s="1407" t="s">
        <v>1079</v>
      </c>
      <c r="H57" s="1406">
        <f>SUM(I57:J57)</f>
        <v>0</v>
      </c>
      <c r="I57" s="1405"/>
      <c r="J57" s="1395"/>
      <c r="K57" s="1404"/>
      <c r="W57" s="1325">
        <v>11</v>
      </c>
    </row>
    <row customHeight="1" ht="11.549999999999999">
      <c r="F58" s="1400"/>
      <c r="G58" s="1409" t="s">
        <v>1065</v>
      </c>
      <c r="H58" s="1406">
        <f>SUM(I58:J58)</f>
        <v>0</v>
      </c>
      <c r="I58" s="1406">
        <f>SUM(I38,I48)</f>
        <v>0</v>
      </c>
      <c r="J58" s="1395"/>
      <c r="K58" s="1404"/>
      <c r="W58" s="1325">
        <v>11</v>
      </c>
    </row>
    <row customHeight="1" ht="10.5" hidden="1">
      <c r="A59" s="1336" t="s">
        <v>81</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9D98A-197B-2807-E30D-BF880A29C46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607" width="4.7109375" hidden="1" customWidth="1"/>
    <col min="2" max="2" style="12613" width="4.7109375" hidden="1" customWidth="1"/>
    <col min="3" max="4" style="12607" width="4.7109375" hidden="1" customWidth="1"/>
    <col min="5" max="5" style="12607" width="3.00390625" customWidth="1"/>
    <col min="6" max="6" style="12607" width="6.00390625" customWidth="1"/>
    <col min="7" max="7" style="12607" width="18.00390625" customWidth="1"/>
    <col min="8" max="8" style="12607" width="27.00390625" customWidth="1"/>
    <col min="9" max="9" style="12607" width="18.00390625" customWidth="1"/>
    <col min="10" max="14" style="12607" width="0.8515625" hidden="1" customWidth="1"/>
    <col min="15" max="28" style="12607" width="21.7109375" hidden="1" customWidth="1"/>
    <col min="29" max="71" style="12607" width="0.8515625" hidden="1" customWidth="1"/>
    <col min="72" max="79" style="12607" width="21.7109375" customWidth="1"/>
    <col min="80" max="81" style="12607" width="29.140625" customWidth="1"/>
    <col min="82" max="89" style="12607" width="21.7109375" customWidth="1"/>
    <col min="90" max="102" style="12607" width="0.7109375" customWidth="1"/>
    <col min="103" max="114" style="12607" width="21.7109375" hidden="1" customWidth="1"/>
    <col min="115" max="178" style="12607" width="0.7109375" hidden="1" customWidth="1"/>
    <col min="179" max="179" style="12607" width="0.140625" customWidth="1"/>
    <col min="180" max="184" style="12607" width="8.00390625" customWidth="1"/>
    <col min="185" max="185" style="12607" width="9.140625" hidden="1"/>
  </cols>
  <sheetData>
    <row s="12537" customFormat="1" customHeight="1" ht="12" hidden="1">
      <c r="B1" s="1093"/>
      <c r="C1" s="1094"/>
      <c r="D1" s="1094"/>
      <c r="GC1" s="1092" t="s">
        <v>14</v>
      </c>
    </row>
    <row s="12537"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2537"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2547"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2552" customFormat="1" customHeight="1" ht="18.75">
      <c r="B6" s="1113"/>
      <c r="E6" s="1115"/>
      <c r="F6" s="2384" t="str">
        <f>IF(org=0,"Не определено",org)</f>
        <v>МУП "Водоканал"</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2556"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2556" customFormat="1" customHeight="1" ht="11.25" hidden="1">
      <c r="B8" s="1104"/>
      <c r="F8" s="1226"/>
      <c r="G8" s="933"/>
      <c r="H8" s="530"/>
      <c r="I8" s="530"/>
      <c r="J8" s="530"/>
      <c r="K8" s="530"/>
      <c r="L8" s="530"/>
      <c r="M8" s="1226"/>
      <c r="N8" s="1226"/>
      <c r="O8" s="2620" t="s">
        <v>1083</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1084</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2556"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2556" customFormat="1" customHeight="1" ht="11.549999999999999">
      <c r="B10" s="1104"/>
      <c r="F10" s="2599" t="s">
        <v>303</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87</v>
      </c>
      <c r="G11" s="2375" t="s">
        <v>1085</v>
      </c>
      <c r="H11" s="2607" t="s">
        <v>1086</v>
      </c>
      <c r="I11" s="2607" t="s">
        <v>1087</v>
      </c>
      <c r="J11" s="2608"/>
      <c r="K11" s="2608"/>
      <c r="L11" s="2608"/>
      <c r="M11" s="2608"/>
      <c r="N11" s="2608"/>
      <c r="O11" s="2379" t="s">
        <v>1088</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1088</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1088</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1089</v>
      </c>
      <c r="P12" s="2379"/>
      <c r="Q12" s="2379"/>
      <c r="R12" s="2379"/>
      <c r="S12" s="2379" t="s">
        <v>1090</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1091</v>
      </c>
      <c r="BU12" s="2557"/>
      <c r="BV12" s="2557"/>
      <c r="BW12" s="2603"/>
      <c r="BX12" s="2556" t="s">
        <v>1092</v>
      </c>
      <c r="BY12" s="2557"/>
      <c r="BZ12" s="2557"/>
      <c r="CA12" s="2603"/>
      <c r="CB12" s="2556" t="s">
        <v>1093</v>
      </c>
      <c r="CC12" s="2603"/>
      <c r="CD12" s="2556" t="s">
        <v>1094</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1095</v>
      </c>
      <c r="CZ12" s="2557"/>
      <c r="DA12" s="2557"/>
      <c r="DB12" s="2557"/>
      <c r="DC12" s="2557"/>
      <c r="DD12" s="2603"/>
      <c r="DE12" s="2556" t="s">
        <v>1096</v>
      </c>
      <c r="DF12" s="2603"/>
      <c r="DG12" s="2556" t="s">
        <v>1094</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1097</v>
      </c>
      <c r="P13" s="2379"/>
      <c r="Q13" s="2379"/>
      <c r="R13" s="2379"/>
      <c r="S13" s="2506" t="s">
        <v>1098</v>
      </c>
      <c r="T13" s="2558"/>
      <c r="U13" s="2297" t="s">
        <v>1099</v>
      </c>
      <c r="V13" s="2297"/>
      <c r="W13" s="2297"/>
      <c r="X13" s="2297"/>
      <c r="Y13" s="2297" t="s">
        <v>1100</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1101</v>
      </c>
      <c r="BU13" s="2558"/>
      <c r="BV13" s="2506" t="s">
        <v>1102</v>
      </c>
      <c r="BW13" s="2558"/>
      <c r="BX13" s="2506" t="s">
        <v>1103</v>
      </c>
      <c r="BY13" s="2558"/>
      <c r="BZ13" s="2506" t="s">
        <v>1104</v>
      </c>
      <c r="CA13" s="2558"/>
      <c r="CB13" s="2506" t="s">
        <v>1105</v>
      </c>
      <c r="CC13" s="2558"/>
      <c r="CD13" s="2506" t="s">
        <v>1106</v>
      </c>
      <c r="CE13" s="2558"/>
      <c r="CF13" s="2506" t="s">
        <v>1107</v>
      </c>
      <c r="CG13" s="2558"/>
      <c r="CH13" s="2556" t="s">
        <v>1108</v>
      </c>
      <c r="CI13" s="2557"/>
      <c r="CJ13" s="2557"/>
      <c r="CK13" s="2603"/>
      <c r="CL13" s="2606"/>
      <c r="CM13" s="2604"/>
      <c r="CN13" s="2604"/>
      <c r="CO13" s="2604"/>
      <c r="CP13" s="2604"/>
      <c r="CQ13" s="2604"/>
      <c r="CR13" s="2604"/>
      <c r="CS13" s="2604"/>
      <c r="CT13" s="2604"/>
      <c r="CU13" s="2604"/>
      <c r="CV13" s="2604"/>
      <c r="CW13" s="2604"/>
      <c r="CX13" s="2623"/>
      <c r="CY13" s="2506" t="s">
        <v>1109</v>
      </c>
      <c r="CZ13" s="2558"/>
      <c r="DA13" s="2506" t="s">
        <v>1110</v>
      </c>
      <c r="DB13" s="2558"/>
      <c r="DC13" s="2506" t="s">
        <v>1111</v>
      </c>
      <c r="DD13" s="2558"/>
      <c r="DE13" s="2506" t="s">
        <v>1112</v>
      </c>
      <c r="DF13" s="2558"/>
      <c r="DG13" s="2556" t="s">
        <v>1113</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1114</v>
      </c>
      <c r="P14" s="2558"/>
      <c r="Q14" s="2506" t="s">
        <v>1115</v>
      </c>
      <c r="R14" s="2558"/>
      <c r="S14" s="2507"/>
      <c r="T14" s="2383"/>
      <c r="U14" s="2506" t="s">
        <v>847</v>
      </c>
      <c r="V14" s="2558"/>
      <c r="W14" s="2506" t="s">
        <v>850</v>
      </c>
      <c r="X14" s="2558"/>
      <c r="Y14" s="2506" t="s">
        <v>847</v>
      </c>
      <c r="Z14" s="2558"/>
      <c r="AA14" s="2506" t="s">
        <v>857</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1116</v>
      </c>
      <c r="CI14" s="2558"/>
      <c r="CJ14" s="2506" t="s">
        <v>1117</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1118</v>
      </c>
      <c r="DH14" s="2558"/>
      <c r="DI14" s="2506" t="s">
        <v>1119</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837</v>
      </c>
      <c r="P16" s="2603"/>
      <c r="Q16" s="2556" t="s">
        <v>839</v>
      </c>
      <c r="R16" s="2603"/>
      <c r="S16" s="2556" t="s">
        <v>843</v>
      </c>
      <c r="T16" s="2603"/>
      <c r="U16" s="2556" t="s">
        <v>848</v>
      </c>
      <c r="V16" s="2603"/>
      <c r="W16" s="2556" t="s">
        <v>851</v>
      </c>
      <c r="X16" s="2603"/>
      <c r="Y16" s="2556" t="s">
        <v>855</v>
      </c>
      <c r="Z16" s="2603"/>
      <c r="AA16" s="2556" t="s">
        <v>858</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570</v>
      </c>
      <c r="BU16" s="2603"/>
      <c r="BV16" s="2556" t="s">
        <v>570</v>
      </c>
      <c r="BW16" s="2603"/>
      <c r="BX16" s="2556" t="s">
        <v>570</v>
      </c>
      <c r="BY16" s="2603"/>
      <c r="BZ16" s="2556" t="s">
        <v>570</v>
      </c>
      <c r="CA16" s="2603"/>
      <c r="CB16" s="2556" t="s">
        <v>1120</v>
      </c>
      <c r="CC16" s="2603"/>
      <c r="CD16" s="2556" t="s">
        <v>570</v>
      </c>
      <c r="CE16" s="2603"/>
      <c r="CF16" s="2556" t="s">
        <v>1121</v>
      </c>
      <c r="CG16" s="2603"/>
      <c r="CH16" s="2556" t="s">
        <v>1122</v>
      </c>
      <c r="CI16" s="2603"/>
      <c r="CJ16" s="2556" t="s">
        <v>1122</v>
      </c>
      <c r="CK16" s="2603"/>
      <c r="CL16" s="2606"/>
      <c r="CM16" s="2604"/>
      <c r="CN16" s="2604"/>
      <c r="CO16" s="2604"/>
      <c r="CP16" s="2604"/>
      <c r="CQ16" s="2604"/>
      <c r="CR16" s="2604"/>
      <c r="CS16" s="2604"/>
      <c r="CT16" s="2604"/>
      <c r="CU16" s="2604"/>
      <c r="CV16" s="2604"/>
      <c r="CW16" s="2604"/>
      <c r="CX16" s="2623"/>
      <c r="CY16" s="2506" t="s">
        <v>570</v>
      </c>
      <c r="CZ16" s="2558"/>
      <c r="DA16" s="2506" t="s">
        <v>570</v>
      </c>
      <c r="DB16" s="2558"/>
      <c r="DC16" s="2506" t="s">
        <v>570</v>
      </c>
      <c r="DD16" s="2558"/>
      <c r="DE16" s="2556" t="s">
        <v>1120</v>
      </c>
      <c r="DF16" s="2603"/>
      <c r="DG16" s="2556" t="s">
        <v>1123</v>
      </c>
      <c r="DH16" s="2603"/>
      <c r="DI16" s="2556" t="s">
        <v>1123</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1124</v>
      </c>
      <c r="P17" s="1361" t="s">
        <v>1125</v>
      </c>
      <c r="Q17" s="1361" t="s">
        <v>1124</v>
      </c>
      <c r="R17" s="1361" t="s">
        <v>1125</v>
      </c>
      <c r="S17" s="1361" t="s">
        <v>1124</v>
      </c>
      <c r="T17" s="1361" t="s">
        <v>1125</v>
      </c>
      <c r="U17" s="1361" t="s">
        <v>1124</v>
      </c>
      <c r="V17" s="1361" t="s">
        <v>1125</v>
      </c>
      <c r="W17" s="1361" t="s">
        <v>1124</v>
      </c>
      <c r="X17" s="1361" t="s">
        <v>1125</v>
      </c>
      <c r="Y17" s="1361" t="s">
        <v>1124</v>
      </c>
      <c r="Z17" s="1361" t="s">
        <v>1125</v>
      </c>
      <c r="AA17" s="1361" t="s">
        <v>1124</v>
      </c>
      <c r="AB17" s="1361" t="s">
        <v>1125</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1124</v>
      </c>
      <c r="BU17" s="1361" t="s">
        <v>1125</v>
      </c>
      <c r="BV17" s="1361" t="s">
        <v>1124</v>
      </c>
      <c r="BW17" s="1361" t="s">
        <v>1125</v>
      </c>
      <c r="BX17" s="1361" t="s">
        <v>1124</v>
      </c>
      <c r="BY17" s="1361" t="s">
        <v>1125</v>
      </c>
      <c r="BZ17" s="1361" t="s">
        <v>1124</v>
      </c>
      <c r="CA17" s="1361" t="s">
        <v>1125</v>
      </c>
      <c r="CB17" s="1361" t="s">
        <v>1124</v>
      </c>
      <c r="CC17" s="1361" t="s">
        <v>1125</v>
      </c>
      <c r="CD17" s="1361" t="s">
        <v>1124</v>
      </c>
      <c r="CE17" s="1361" t="s">
        <v>1125</v>
      </c>
      <c r="CF17" s="1361" t="s">
        <v>1124</v>
      </c>
      <c r="CG17" s="1361" t="s">
        <v>1125</v>
      </c>
      <c r="CH17" s="1361" t="s">
        <v>1124</v>
      </c>
      <c r="CI17" s="1361" t="s">
        <v>1125</v>
      </c>
      <c r="CJ17" s="1361" t="s">
        <v>1124</v>
      </c>
      <c r="CK17" s="1361" t="s">
        <v>1125</v>
      </c>
      <c r="CL17" s="2606"/>
      <c r="CM17" s="2604"/>
      <c r="CN17" s="2604"/>
      <c r="CO17" s="2604"/>
      <c r="CP17" s="2604"/>
      <c r="CQ17" s="2604"/>
      <c r="CR17" s="2604"/>
      <c r="CS17" s="2604"/>
      <c r="CT17" s="2604"/>
      <c r="CU17" s="2604"/>
      <c r="CV17" s="2604"/>
      <c r="CW17" s="2604"/>
      <c r="CX17" s="2623"/>
      <c r="CY17" s="1361" t="s">
        <v>1124</v>
      </c>
      <c r="CZ17" s="1361" t="s">
        <v>1125</v>
      </c>
      <c r="DA17" s="1361" t="s">
        <v>1124</v>
      </c>
      <c r="DB17" s="1361" t="s">
        <v>1125</v>
      </c>
      <c r="DC17" s="1361" t="s">
        <v>1124</v>
      </c>
      <c r="DD17" s="1361" t="s">
        <v>1125</v>
      </c>
      <c r="DE17" s="1361" t="s">
        <v>1124</v>
      </c>
      <c r="DF17" s="1361" t="s">
        <v>1125</v>
      </c>
      <c r="DG17" s="1361" t="s">
        <v>1124</v>
      </c>
      <c r="DH17" s="1361" t="s">
        <v>1125</v>
      </c>
      <c r="DI17" s="1361" t="s">
        <v>1124</v>
      </c>
      <c r="DJ17" s="1361" t="s">
        <v>1125</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2537"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2537"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2537" customFormat="1" customHeight="1" ht="11.25" hidden="1">
      <c r="B20" s="1110"/>
      <c r="D20" s="1094"/>
      <c r="E20" s="1109"/>
      <c r="F20" s="1367" t="s">
        <v>379</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2537"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2537" customFormat="1" customHeight="1" ht="12.75">
      <c r="A22" s="1111"/>
      <c r="B22" s="1111"/>
      <c r="C22" s="1111"/>
      <c r="D22" s="1111"/>
      <c r="E22" s="1111"/>
      <c r="FX22" s="1111"/>
      <c r="FY22" s="1111"/>
      <c r="FZ22" s="1111"/>
      <c r="GA22" s="1111"/>
      <c r="GB22" s="1111"/>
      <c r="GC22" s="1092">
        <v>12</v>
      </c>
    </row>
    <row s="12607"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81</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19D3F-B8C6-8BC9-E182-DD6A1A6B4B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9553" width="9.140625" hidden="1" customWidth="1"/>
    <col min="2" max="2" style="9589" width="9.140625" hidden="1" customWidth="1"/>
    <col min="3" max="3" style="12431" width="4.00390625" customWidth="1"/>
    <col min="4" max="4" style="9589" width="6.00390625" customWidth="1"/>
    <col min="5" max="5" style="9589" width="36.00390625" customWidth="1"/>
    <col min="6" max="6" style="9589" width="9.00390625" customWidth="1"/>
    <col min="7" max="7" style="9589" width="42.421875" hidden="1" customWidth="1"/>
    <col min="8" max="8" style="9589" width="40.7109375" customWidth="1"/>
    <col min="9" max="9" style="9666" width="93.00390625" customWidth="1"/>
    <col min="10" max="17" style="9589" width="10.00390625" customWidth="1"/>
    <col min="18" max="18" style="12432" width="10.00390625" customWidth="1"/>
    <col min="19" max="19" style="9589" width="10.57421875" hidden="1"/>
  </cols>
  <sheetData>
    <row s="9666" customFormat="1" customHeight="1" ht="15" hidden="1">
      <c r="C1" s="842"/>
      <c r="H1" s="587">
        <v>4</v>
      </c>
      <c r="R1" s="590"/>
      <c r="S1" s="587" t="s">
        <v>14</v>
      </c>
    </row>
    <row customHeight="1" ht="22.5" hidden="1">
      <c r="C2" s="2098" t="s">
        <v>489</v>
      </c>
      <c r="D2" s="709"/>
      <c r="E2" s="833"/>
      <c r="F2" s="1931" t="str">
        <f>IF(TEMPLATE_SPHERE="HEAT","Гкал/час","тыс. куб. м/сутки")</f>
        <v>тыс. куб. м/сутки</v>
      </c>
      <c r="G2" s="850"/>
      <c r="H2" s="850"/>
      <c r="I2" s="459"/>
      <c r="S2" s="675">
        <v>0</v>
      </c>
    </row>
    <row s="9666"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407"/>
      <c r="F5" s="2407"/>
      <c r="G5" s="2407"/>
      <c r="H5" s="2407"/>
      <c r="I5" s="707"/>
      <c r="S5" s="675">
        <v>38</v>
      </c>
    </row>
    <row customHeight="1" ht="15.75">
      <c r="C6" s="346"/>
      <c r="D6" s="2346" t="str">
        <f>IF(org=0,"Не определено",org)</f>
        <v>МУП "Водоканал"</v>
      </c>
      <c r="E6" s="2346"/>
      <c r="F6" s="2346"/>
      <c r="G6" s="2346"/>
      <c r="H6" s="2346"/>
      <c r="I6" s="707"/>
      <c r="S6" s="675">
        <v>15</v>
      </c>
    </row>
    <row s="9589" customFormat="1" customHeight="1" ht="15.75">
      <c r="A7" s="929"/>
      <c r="C7" s="346"/>
      <c r="D7" s="846"/>
      <c r="E7" s="846"/>
      <c r="F7" s="846"/>
      <c r="G7" s="846"/>
      <c r="H7" s="922"/>
      <c r="I7" s="707"/>
      <c r="R7" s="845"/>
      <c r="S7" s="928">
        <v>15</v>
      </c>
    </row>
    <row customHeight="1" ht="1.05">
      <c r="C8" s="346"/>
      <c r="D8" s="679"/>
      <c r="E8" s="679"/>
      <c r="F8" s="679"/>
      <c r="G8" s="679"/>
      <c r="H8" s="707" t="s">
        <v>116</v>
      </c>
      <c r="S8" s="675">
        <v>1</v>
      </c>
    </row>
    <row customHeight="1" ht="15.75">
      <c r="C9" s="346"/>
      <c r="D9" s="881"/>
      <c r="E9" s="2537" t="s">
        <v>104</v>
      </c>
      <c r="F9" s="2538"/>
      <c r="G9" s="986" t="str">
        <f>IF(G8="","",INDEX(DIFFERENTIATION_UNMERGE_VD,MATCH(G8,DIFFERENTIATION_ID_DIFF,0)))</f>
        <v/>
      </c>
      <c r="H9" s="986">
        <f>IF(H8="","",INDEX(DIFFERENTIATION_UNMERGE_VD,MATCH(H8,DIFFERENTIATION_ID_DIFF,0)))</f>
        <v>0</v>
      </c>
      <c r="I9" s="2297" t="s">
        <v>304</v>
      </c>
      <c r="S9" s="675">
        <v>15</v>
      </c>
    </row>
    <row s="9589" customFormat="1" customHeight="1" ht="15.75">
      <c r="A10" s="929"/>
      <c r="C10" s="346"/>
      <c r="D10" s="881"/>
      <c r="E10" s="2537" t="s">
        <v>576</v>
      </c>
      <c r="F10" s="2538"/>
      <c r="G10" s="986" t="str">
        <f>IF(G8="","",INDEX(DIFFERENTIATION_UNMERGE_AREA,MATCH(G8,DIFFERENTIATION_ID_DIFF,0)))</f>
        <v/>
      </c>
      <c r="H10" s="986" t="str">
        <f>IF(H8="","",INDEX(DIFFERENTIATION_UNMERGE_AREA,MATCH(H8,DIFFERENTIATION_ID_DIFF,0)))</f>
        <v/>
      </c>
      <c r="I10" s="2297"/>
      <c r="R10" s="845"/>
      <c r="S10" s="928">
        <v>15</v>
      </c>
    </row>
    <row s="9589" customFormat="1" customHeight="1" ht="15.75">
      <c r="A11" s="929"/>
      <c r="C11" s="346"/>
      <c r="D11" s="881"/>
      <c r="E11" s="2537" t="s">
        <v>577</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9589" customFormat="1" customHeight="1" ht="15.75">
      <c r="A12" s="929"/>
      <c r="C12" s="346"/>
      <c r="D12" s="2539" t="s">
        <v>303</v>
      </c>
      <c r="E12" s="2540"/>
      <c r="F12" s="2540"/>
      <c r="G12" s="1057"/>
      <c r="H12" s="1057"/>
      <c r="I12" s="2297"/>
      <c r="R12" s="845"/>
      <c r="S12" s="928">
        <v>15</v>
      </c>
    </row>
    <row customHeight="1" ht="35.699999999999996">
      <c r="C13" s="346"/>
      <c r="D13" s="931" t="s">
        <v>87</v>
      </c>
      <c r="E13" s="930" t="s">
        <v>305</v>
      </c>
      <c r="F13" s="930" t="s">
        <v>578</v>
      </c>
      <c r="G13" s="978" t="s">
        <v>306</v>
      </c>
      <c r="H13" s="924" t="s">
        <v>306</v>
      </c>
      <c r="I13" s="2297"/>
      <c r="S13" s="675">
        <v>34</v>
      </c>
    </row>
    <row customHeight="1" ht="15" hidden="1">
      <c r="C14" s="346"/>
      <c r="D14" s="763" t="s">
        <v>108</v>
      </c>
      <c r="E14" s="763" t="s">
        <v>109</v>
      </c>
      <c r="F14" s="763" t="s">
        <v>89</v>
      </c>
      <c r="G14" s="829" t="str">
        <f>G1&amp;".1"</f>
        <v>.1</v>
      </c>
      <c r="H14" s="829" t="str">
        <f>H1&amp;".1"</f>
        <v>4.1</v>
      </c>
      <c r="I14" s="459"/>
      <c r="S14" s="675">
        <v>0</v>
      </c>
    </row>
    <row customHeight="1" ht="15.75">
      <c r="A15" s="675"/>
      <c r="C15" s="696"/>
      <c r="D15" s="691">
        <v>1</v>
      </c>
      <c r="E15" s="2100" t="str">
        <f>TP_P_A</f>
        <v>Количество поданных заявлений </v>
      </c>
      <c r="F15" s="691" t="s">
        <v>1126</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75">
        <v>15</v>
      </c>
    </row>
    <row customHeight="1" ht="15.75">
      <c r="A16" s="675"/>
      <c r="C16" s="696"/>
      <c r="D16" s="691">
        <v>2</v>
      </c>
      <c r="E16" s="2100" t="str">
        <f>TP_P_B</f>
        <v>Количество исполненных заявлений </v>
      </c>
      <c r="F16" s="691" t="s">
        <v>1126</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1126</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91" t="s">
        <v>309</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75">
        <v>57</v>
      </c>
    </row>
    <row customHeight="1" ht="15" hidden="1">
      <c r="D20" s="679" t="s">
        <v>1127</v>
      </c>
      <c r="E20" s="858"/>
      <c r="F20" s="679"/>
      <c r="G20" s="679"/>
      <c r="H20" s="679"/>
      <c r="I20" s="1933"/>
      <c r="S20" s="675">
        <v>0</v>
      </c>
    </row>
    <row customHeight="1" ht="29.25">
      <c r="C21" s="621"/>
      <c r="D21" s="709" t="s">
        <v>316</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75">
        <v>28</v>
      </c>
    </row>
    <row customHeight="1" ht="15.75">
      <c r="A22" s="675"/>
      <c r="C22" s="675"/>
      <c r="D22" s="517"/>
      <c r="E22" s="750" t="s">
        <v>1128</v>
      </c>
      <c r="F22" s="742"/>
      <c r="G22" s="742"/>
      <c r="H22" s="742"/>
      <c r="I22" s="2341"/>
      <c r="R22" s="675"/>
      <c r="S22" s="675">
        <v>15</v>
      </c>
    </row>
    <row customHeight="1" ht="22.5" hidden="1">
      <c r="A23" s="619" t="s">
        <v>81</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1FA8F-8E61-6199-7877-E90CC8BEA2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0533" width="9.140625" hidden="1" customWidth="1"/>
    <col min="2" max="2" style="9666" width="9.140625" hidden="1" customWidth="1"/>
    <col min="3" max="3" style="10534" width="3.00390625" customWidth="1"/>
    <col min="4" max="4" style="9589" width="6.00390625" customWidth="1"/>
    <col min="5" max="6" style="9589" width="64.00390625" customWidth="1"/>
    <col min="7" max="7" style="9589" width="140.00390625" customWidth="1"/>
    <col min="8" max="8" style="9589" width="10.00390625" customWidth="1"/>
    <col min="9" max="10" style="9756" width="10.00390625" customWidth="1"/>
    <col min="11" max="16" style="9589" width="10.00390625" customWidth="1"/>
    <col min="17" max="17" style="9589"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625"/>
      <c r="F5" s="2625"/>
      <c r="G5" s="2626"/>
      <c r="Q5" s="253">
        <v>28</v>
      </c>
    </row>
    <row s="9589" customFormat="1" customHeight="1" ht="18.75">
      <c r="A6" s="1052"/>
      <c r="B6" s="587"/>
      <c r="C6" s="546"/>
      <c r="D6" s="2627" t="str">
        <f>IF(org=0,"Не определено",org)</f>
        <v>МУП "Водоканал"</v>
      </c>
      <c r="E6" s="2628"/>
      <c r="F6" s="2628"/>
      <c r="G6" s="2629"/>
      <c r="I6" s="670"/>
      <c r="J6" s="670"/>
      <c r="Q6" s="928">
        <v>18</v>
      </c>
    </row>
    <row customHeight="1" ht="14.699999999999998">
      <c r="C7" s="266"/>
      <c r="D7" s="254"/>
      <c r="E7" s="265"/>
      <c r="F7" s="922"/>
      <c r="G7" s="363"/>
      <c r="Q7" s="253">
        <v>14</v>
      </c>
    </row>
    <row s="9589" customFormat="1" customHeight="1" ht="1.05">
      <c r="A8" s="1839"/>
      <c r="B8" s="1330"/>
      <c r="C8" s="546"/>
      <c r="D8" s="533"/>
      <c r="E8" s="559"/>
      <c r="F8" s="922"/>
      <c r="G8" s="363"/>
      <c r="I8" s="1794"/>
      <c r="J8" s="1794"/>
      <c r="Q8" s="1801">
        <v>1</v>
      </c>
    </row>
    <row customHeight="1" ht="14.699999999999998">
      <c r="C9" s="266"/>
      <c r="D9" s="2379" t="s">
        <v>303</v>
      </c>
      <c r="E9" s="2379"/>
      <c r="F9" s="2379"/>
      <c r="G9" s="2559" t="s">
        <v>304</v>
      </c>
      <c r="Q9" s="253">
        <v>14</v>
      </c>
    </row>
    <row customHeight="1" ht="24">
      <c r="C10" s="266"/>
      <c r="D10" s="275" t="s">
        <v>87</v>
      </c>
      <c r="E10" s="278" t="s">
        <v>305</v>
      </c>
      <c r="F10" s="278" t="s">
        <v>393</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68" t="s">
        <v>309</v>
      </c>
      <c r="G12" s="321"/>
      <c r="Q12" s="253">
        <v>62</v>
      </c>
    </row>
    <row customHeight="1" ht="24">
      <c r="A13" s="362"/>
      <c r="C13" s="266"/>
      <c r="D13" s="317" t="s">
        <v>1033</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309</v>
      </c>
      <c r="G13" s="321"/>
      <c r="Q13" s="253">
        <v>23</v>
      </c>
    </row>
    <row customHeight="1" ht="14.699999999999998">
      <c r="A14" s="362"/>
      <c r="C14" s="266"/>
      <c r="D14" s="317" t="s">
        <v>1069</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1129</v>
      </c>
      <c r="F15" s="371"/>
      <c r="G15" s="2341"/>
      <c r="Q15" s="253">
        <v>15</v>
      </c>
    </row>
    <row customHeight="1" ht="14.699999999999998">
      <c r="A16" s="362"/>
      <c r="C16" s="266"/>
      <c r="D16" s="317" t="s">
        <v>1035</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68" t="s">
        <v>309</v>
      </c>
      <c r="G16" s="507"/>
      <c r="Q16" s="253">
        <v>14</v>
      </c>
    </row>
    <row customHeight="1" ht="14.699999999999998">
      <c r="A17" s="362"/>
      <c r="C17" s="266"/>
      <c r="D17" s="317" t="s">
        <v>1077</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53">
        <v>14</v>
      </c>
    </row>
    <row s="9589" customFormat="1" customHeight="1" ht="22.049999999999997">
      <c r="A18" s="513"/>
      <c r="B18" s="316"/>
      <c r="C18" s="477"/>
      <c r="D18" s="517"/>
      <c r="E18" s="519" t="s">
        <v>1130</v>
      </c>
      <c r="F18" s="508"/>
      <c r="G18" s="2341"/>
      <c r="I18" s="520"/>
      <c r="J18" s="520"/>
      <c r="Q18" s="512">
        <v>21</v>
      </c>
    </row>
    <row s="9589" customFormat="1" customHeight="1" ht="256.5" hidden="1">
      <c r="A19" s="513"/>
      <c r="B19" s="587"/>
      <c r="C19" s="546"/>
      <c r="D19" s="1054" t="s">
        <v>1037</v>
      </c>
      <c r="E19" s="1053" t="s">
        <v>1131</v>
      </c>
      <c r="F19" s="555"/>
      <c r="G19" s="507" t="s">
        <v>1132</v>
      </c>
      <c r="I19" s="670"/>
      <c r="J19" s="670"/>
      <c r="Q19" s="928">
        <v>0</v>
      </c>
    </row>
    <row s="9589" customFormat="1" customHeight="1" ht="14.699999999999998">
      <c r="A20" s="513"/>
      <c r="B20" s="316"/>
      <c r="C20" s="477"/>
      <c r="D20" s="1055">
        <v>2</v>
      </c>
      <c r="E20" s="500" t="s">
        <v>1133</v>
      </c>
      <c r="F20" s="368" t="s">
        <v>309</v>
      </c>
      <c r="G20" s="507"/>
      <c r="I20" s="520"/>
      <c r="J20" s="520"/>
      <c r="Q20" s="512">
        <v>14</v>
      </c>
    </row>
    <row s="9589" customFormat="1" customHeight="1" ht="18.75" hidden="1">
      <c r="A21" s="513"/>
      <c r="B21" s="316"/>
      <c r="C21" s="477"/>
      <c r="D21" s="503" t="s">
        <v>648</v>
      </c>
      <c r="E21" s="502"/>
      <c r="F21" s="501"/>
      <c r="G21" s="511"/>
      <c r="H21" s="504"/>
      <c r="I21" s="520"/>
      <c r="J21" s="520"/>
      <c r="Q21" s="512">
        <v>0</v>
      </c>
    </row>
    <row customHeight="1" ht="15.75">
      <c r="A22" s="362"/>
      <c r="C22" s="266"/>
      <c r="D22" s="279"/>
      <c r="E22" s="373" t="s">
        <v>325</v>
      </c>
      <c r="F22" s="508"/>
      <c r="G22" s="509"/>
      <c r="Q22" s="253">
        <v>15</v>
      </c>
    </row>
    <row s="9589" customFormat="1" customHeight="1" ht="22.5" hidden="1">
      <c r="A23" s="513"/>
      <c r="B23" s="1330"/>
      <c r="C23" s="546"/>
      <c r="D23" s="1843" t="s">
        <v>109</v>
      </c>
      <c r="E23" s="367" t="s">
        <v>1134</v>
      </c>
      <c r="F23" s="1840" t="s">
        <v>309</v>
      </c>
      <c r="G23" s="515"/>
      <c r="I23" s="1794"/>
      <c r="J23" s="1794"/>
      <c r="Q23" s="1801">
        <v>0</v>
      </c>
    </row>
    <row s="9589" customFormat="1" customHeight="1" ht="14.25" hidden="1">
      <c r="A24" s="513"/>
      <c r="B24" s="1330"/>
      <c r="C24" s="546"/>
      <c r="D24" s="1843" t="s">
        <v>720</v>
      </c>
      <c r="E24" s="1842" t="s">
        <v>1135</v>
      </c>
      <c r="F24" s="1840" t="s">
        <v>309</v>
      </c>
      <c r="G24" s="507"/>
      <c r="I24" s="1794"/>
      <c r="J24" s="1794"/>
      <c r="Q24" s="1801">
        <v>0</v>
      </c>
    </row>
    <row s="9589" customFormat="1" customHeight="1" ht="14.25" hidden="1">
      <c r="A25" s="513"/>
      <c r="B25" s="1330"/>
      <c r="C25" s="546"/>
      <c r="D25" s="1843" t="s">
        <v>723</v>
      </c>
      <c r="E25" s="365"/>
      <c r="F25" s="555"/>
      <c r="G25" s="2339" t="s">
        <v>1136</v>
      </c>
      <c r="I25" s="1794"/>
      <c r="J25" s="1794"/>
      <c r="Q25" s="1801">
        <v>0</v>
      </c>
    </row>
    <row s="9589" customFormat="1" customHeight="1" ht="22.5" hidden="1">
      <c r="A26" s="513"/>
      <c r="B26" s="1330"/>
      <c r="C26" s="546"/>
      <c r="D26" s="517"/>
      <c r="E26" s="519" t="s">
        <v>1137</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81</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A7E85-1CC9-E09F-6AB7-9AB14DD5EC9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0532" width="9.140625" hidden="1" customWidth="1"/>
    <col min="2" max="2" style="9666" width="9.140625" hidden="1" customWidth="1"/>
    <col min="3" max="3" style="10534" width="3.00390625" customWidth="1"/>
    <col min="4" max="4" style="9589" width="6.00390625" customWidth="1"/>
    <col min="5" max="5" style="9589" width="63.00390625" customWidth="1"/>
    <col min="6" max="6" style="9589" width="1.7109375" hidden="1" customWidth="1"/>
    <col min="7" max="8" style="9589" width="35.00390625" customWidth="1"/>
    <col min="9" max="9" style="9589" width="91.00390625" customWidth="1"/>
    <col min="10" max="10" style="9589" width="68.00390625" customWidth="1"/>
    <col min="11" max="12" style="9756" width="10.00390625" customWidth="1"/>
    <col min="13" max="13" style="9589" width="10.57421875" hidden="1"/>
  </cols>
  <sheetData>
    <row customHeight="1" ht="22.5" hidden="1">
      <c r="M1" s="253" t="s">
        <v>14</v>
      </c>
    </row>
    <row s="9589" customFormat="1" customHeight="1" ht="18.75" hidden="1">
      <c r="A2" s="1853"/>
      <c r="B2" s="1330"/>
      <c r="C2" s="1900" t="s">
        <v>489</v>
      </c>
      <c r="D2" s="1843"/>
      <c r="E2" s="369"/>
      <c r="F2" s="1840"/>
      <c r="G2" s="1840" t="s">
        <v>309</v>
      </c>
      <c r="H2" s="1331"/>
      <c r="K2" s="1794"/>
      <c r="L2" s="1794"/>
      <c r="M2" s="1801">
        <v>0</v>
      </c>
    </row>
    <row s="9589" customFormat="1" customHeight="1" ht="14.25" hidden="1">
      <c r="A3" s="1532"/>
      <c r="B3" s="1330"/>
      <c r="C3" s="514"/>
      <c r="K3" s="1794"/>
      <c r="L3" s="1794"/>
      <c r="M3" s="1801">
        <v>0</v>
      </c>
    </row>
    <row s="9589" customFormat="1" customHeight="1" ht="18.75" hidden="1">
      <c r="A4" s="1853"/>
      <c r="B4" s="1330"/>
      <c r="C4" s="1900" t="s">
        <v>489</v>
      </c>
      <c r="D4" s="1843"/>
      <c r="E4" s="375" t="s">
        <v>1138</v>
      </c>
      <c r="F4" s="1840"/>
      <c r="G4" s="427"/>
      <c r="H4" s="1840" t="s">
        <v>309</v>
      </c>
      <c r="K4" s="1794"/>
      <c r="L4" s="1794"/>
      <c r="M4" s="1801">
        <v>0</v>
      </c>
    </row>
    <row s="9589" customFormat="1" customHeight="1" ht="14.25" hidden="1">
      <c r="A5" s="1532"/>
      <c r="B5" s="1330"/>
      <c r="C5" s="514"/>
      <c r="K5" s="1794"/>
      <c r="L5" s="1794"/>
      <c r="M5" s="1801">
        <v>0</v>
      </c>
    </row>
    <row s="9589" customFormat="1" customHeight="1" ht="18.75" hidden="1">
      <c r="A6" s="1853"/>
      <c r="B6" s="1330"/>
      <c r="C6" s="1900" t="s">
        <v>489</v>
      </c>
      <c r="D6" s="1843"/>
      <c r="E6" s="376" t="s">
        <v>1139</v>
      </c>
      <c r="F6" s="1840"/>
      <c r="G6" s="427"/>
      <c r="H6" s="1840" t="s">
        <v>309</v>
      </c>
      <c r="K6" s="1794"/>
      <c r="L6" s="1794"/>
      <c r="M6" s="1801">
        <v>0</v>
      </c>
    </row>
    <row s="9589" customFormat="1" customHeight="1" ht="14.25" hidden="1">
      <c r="A7" s="1532"/>
      <c r="B7" s="1330"/>
      <c r="C7" s="514"/>
      <c r="K7" s="1794"/>
      <c r="L7" s="1794"/>
      <c r="M7" s="1801">
        <v>0</v>
      </c>
    </row>
    <row s="9589" customFormat="1" customHeight="1" ht="18.75" hidden="1">
      <c r="A8" s="1853"/>
      <c r="B8" s="1330"/>
      <c r="C8" s="1900" t="s">
        <v>489</v>
      </c>
      <c r="D8" s="1843"/>
      <c r="E8" s="376" t="s">
        <v>1140</v>
      </c>
      <c r="F8" s="1840"/>
      <c r="G8" s="427"/>
      <c r="H8" s="1840" t="s">
        <v>309</v>
      </c>
      <c r="K8" s="1794"/>
      <c r="L8" s="1794"/>
      <c r="M8" s="1801">
        <v>0</v>
      </c>
    </row>
    <row s="9589" customFormat="1" customHeight="1" ht="14.25" hidden="1">
      <c r="A9" s="1532"/>
      <c r="B9" s="1330"/>
      <c r="C9" s="514"/>
      <c r="K9" s="1794"/>
      <c r="L9" s="1794"/>
      <c r="M9" s="1801">
        <v>0</v>
      </c>
    </row>
    <row s="9589" customFormat="1" customHeight="1" ht="18.75" hidden="1">
      <c r="A10" s="1853"/>
      <c r="B10" s="1330"/>
      <c r="C10" s="1900" t="s">
        <v>489</v>
      </c>
      <c r="D10" s="1843"/>
      <c r="E10" s="376" t="s">
        <v>1141</v>
      </c>
      <c r="F10" s="1840"/>
      <c r="G10" s="1844"/>
      <c r="H10" s="1840" t="s">
        <v>309</v>
      </c>
      <c r="K10" s="1794"/>
      <c r="L10" s="1794" t="s">
        <v>1142</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625"/>
      <c r="F14" s="2625"/>
      <c r="G14" s="2625"/>
      <c r="H14" s="2626"/>
      <c r="J14" s="1801"/>
      <c r="M14" s="253">
        <v>28</v>
      </c>
    </row>
    <row s="9589" customFormat="1" customHeight="1" ht="14.699999999999998">
      <c r="A15" s="1532"/>
      <c r="B15" s="1330"/>
      <c r="C15" s="546"/>
      <c r="D15" s="2627" t="str">
        <f>IF(org=0,"Не определено",org)</f>
        <v>МУП "Водоканал"</v>
      </c>
      <c r="E15" s="2628"/>
      <c r="F15" s="2628"/>
      <c r="G15" s="2628"/>
      <c r="H15" s="2629"/>
      <c r="J15" s="1022"/>
      <c r="K15" s="1794"/>
      <c r="L15" s="1794"/>
      <c r="M15" s="1801">
        <v>14</v>
      </c>
    </row>
    <row customHeight="1" ht="14.699999999999998">
      <c r="C16" s="266"/>
      <c r="D16" s="254"/>
      <c r="E16" s="265"/>
      <c r="F16" s="265"/>
      <c r="G16" s="265"/>
      <c r="H16" s="922"/>
      <c r="I16" s="363"/>
      <c r="M16" s="253">
        <v>14</v>
      </c>
    </row>
    <row s="9589" customFormat="1" customHeight="1" ht="14.25" hidden="1">
      <c r="A17" s="1532"/>
      <c r="B17" s="1330"/>
      <c r="C17" s="546"/>
      <c r="D17" s="533"/>
      <c r="E17" s="559"/>
      <c r="F17" s="559"/>
      <c r="G17" s="559"/>
      <c r="H17" s="922"/>
      <c r="I17" s="363"/>
      <c r="K17" s="1794"/>
      <c r="L17" s="1794"/>
      <c r="M17" s="1801">
        <v>0</v>
      </c>
    </row>
    <row customHeight="1" ht="22.049999999999997">
      <c r="C18" s="266"/>
      <c r="D18" s="2379" t="s">
        <v>303</v>
      </c>
      <c r="E18" s="2379"/>
      <c r="F18" s="2379"/>
      <c r="G18" s="2379"/>
      <c r="H18" s="2379"/>
      <c r="I18" s="2559" t="s">
        <v>304</v>
      </c>
      <c r="M18" s="253">
        <v>21</v>
      </c>
    </row>
    <row customHeight="1" ht="22.049999999999997">
      <c r="C19" s="266"/>
      <c r="D19" s="275" t="s">
        <v>87</v>
      </c>
      <c r="E19" s="278" t="s">
        <v>305</v>
      </c>
      <c r="F19" s="278"/>
      <c r="G19" s="278" t="s">
        <v>306</v>
      </c>
      <c r="H19" s="278" t="s">
        <v>393</v>
      </c>
      <c r="I19" s="2559"/>
      <c r="M19" s="253">
        <v>21</v>
      </c>
    </row>
    <row customHeight="1" ht="12" hidden="1">
      <c r="C20" s="266"/>
      <c r="D20" s="257"/>
      <c r="E20" s="257"/>
      <c r="F20" s="257"/>
      <c r="G20" s="257"/>
      <c r="H20" s="257"/>
      <c r="I20" s="257"/>
      <c r="M20" s="253">
        <v>0</v>
      </c>
    </row>
    <row customHeight="1" ht="14.699999999999998">
      <c r="A21" s="1853"/>
      <c r="C21" s="266"/>
      <c r="D21" s="317">
        <v>1</v>
      </c>
      <c r="E21" s="2631" t="s">
        <v>1143</v>
      </c>
      <c r="F21" s="2631"/>
      <c r="G21" s="2631"/>
      <c r="H21" s="2631"/>
      <c r="I21" s="378"/>
      <c r="M21" s="253">
        <v>14</v>
      </c>
    </row>
    <row customHeight="1" ht="21">
      <c r="A22" s="1853"/>
      <c r="C22" s="266"/>
      <c r="D22" s="317" t="s">
        <v>1033</v>
      </c>
      <c r="E22" s="364" t="s">
        <v>1144</v>
      </c>
      <c r="F22" s="368"/>
      <c r="G22" s="1907"/>
      <c r="H22" s="368" t="s">
        <v>309</v>
      </c>
      <c r="I22" s="321" t="s">
        <v>1145</v>
      </c>
      <c r="M22" s="253">
        <v>20</v>
      </c>
    </row>
    <row customHeight="1" ht="60">
      <c r="A23" s="1853"/>
      <c r="C23" s="266"/>
      <c r="D23" s="317" t="s">
        <v>1035</v>
      </c>
      <c r="E23" s="364" t="s">
        <v>1146</v>
      </c>
      <c r="F23" s="368"/>
      <c r="G23" s="427"/>
      <c r="H23" s="383"/>
      <c r="I23" s="428" t="s">
        <v>1147</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68"/>
      <c r="G24" s="368" t="s">
        <v>309</v>
      </c>
      <c r="H24" s="383"/>
      <c r="I24" s="429" t="s">
        <v>643</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327</v>
      </c>
      <c r="E26" s="369"/>
      <c r="F26" s="368"/>
      <c r="G26" s="368" t="s">
        <v>309</v>
      </c>
      <c r="H26" s="383"/>
      <c r="I26" s="2339" t="s">
        <v>1148</v>
      </c>
      <c r="M26" s="253">
        <v>14</v>
      </c>
    </row>
    <row customHeight="1" ht="15.75">
      <c r="A27" s="1853" t="s">
        <v>108</v>
      </c>
      <c r="C27" s="266"/>
      <c r="D27" s="279"/>
      <c r="E27" s="373" t="s">
        <v>325</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630"/>
      <c r="G28" s="2630"/>
      <c r="H28" s="2630"/>
      <c r="I28" s="426"/>
      <c r="M28" s="253">
        <v>38</v>
      </c>
    </row>
    <row customHeight="1" ht="21">
      <c r="A29" s="1853"/>
      <c r="C29" s="266"/>
      <c r="D29" s="317" t="s">
        <v>765</v>
      </c>
      <c r="E29" s="375" t="s">
        <v>1138</v>
      </c>
      <c r="F29" s="368"/>
      <c r="G29" s="427"/>
      <c r="H29" s="368" t="s">
        <v>309</v>
      </c>
      <c r="I29" s="2339" t="s">
        <v>1149</v>
      </c>
      <c r="M29" s="253">
        <v>20</v>
      </c>
    </row>
    <row customHeight="1" ht="15.75">
      <c r="A30" s="1853" t="s">
        <v>109</v>
      </c>
      <c r="C30" s="266"/>
      <c r="D30" s="279"/>
      <c r="E30" s="373" t="s">
        <v>325</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630"/>
      <c r="G31" s="2630"/>
      <c r="H31" s="2630"/>
      <c r="I31" s="426"/>
      <c r="M31" s="253">
        <v>30</v>
      </c>
    </row>
    <row customHeight="1" ht="27.299999999999997">
      <c r="A32" s="1853"/>
      <c r="C32" s="266"/>
      <c r="D32" s="317" t="s">
        <v>316</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73"/>
      <c r="G32" s="2573"/>
      <c r="H32" s="2573"/>
      <c r="I32" s="426"/>
      <c r="M32" s="253">
        <v>26</v>
      </c>
    </row>
    <row customHeight="1" ht="14.699999999999998">
      <c r="A33" s="1853"/>
      <c r="C33" s="266"/>
      <c r="D33" s="317" t="s">
        <v>1150</v>
      </c>
      <c r="E33" s="376" t="s">
        <v>1139</v>
      </c>
      <c r="F33" s="368"/>
      <c r="G33" s="427"/>
      <c r="H33" s="368" t="s">
        <v>309</v>
      </c>
      <c r="I33" s="2339" t="s">
        <v>1151</v>
      </c>
      <c r="M33" s="253">
        <v>14</v>
      </c>
    </row>
    <row customHeight="1" ht="15.75">
      <c r="A34" s="1853" t="s">
        <v>89</v>
      </c>
      <c r="C34" s="266"/>
      <c r="D34" s="279"/>
      <c r="E34" s="374" t="s">
        <v>325</v>
      </c>
      <c r="F34" s="370"/>
      <c r="G34" s="370"/>
      <c r="H34" s="371"/>
      <c r="I34" s="2341"/>
      <c r="M34" s="253">
        <v>15</v>
      </c>
    </row>
    <row customHeight="1" ht="25.2">
      <c r="A35" s="1853"/>
      <c r="C35" s="266"/>
      <c r="D35" s="317" t="s">
        <v>893</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73"/>
      <c r="G35" s="2573"/>
      <c r="H35" s="2573"/>
      <c r="I35" s="426"/>
      <c r="M35" s="253">
        <v>24</v>
      </c>
    </row>
    <row customHeight="1" ht="14.699999999999998">
      <c r="A36" s="1853"/>
      <c r="C36" s="266"/>
      <c r="D36" s="317" t="s">
        <v>1152</v>
      </c>
      <c r="E36" s="376" t="s">
        <v>1140</v>
      </c>
      <c r="F36" s="368"/>
      <c r="G36" s="427"/>
      <c r="H36" s="368" t="s">
        <v>309</v>
      </c>
      <c r="I36" s="2313" t="s">
        <v>1153</v>
      </c>
      <c r="M36" s="253">
        <v>14</v>
      </c>
    </row>
    <row customHeight="1" ht="15.75">
      <c r="A37" s="1853" t="s">
        <v>90</v>
      </c>
      <c r="C37" s="266"/>
      <c r="D37" s="279"/>
      <c r="E37" s="374" t="s">
        <v>325</v>
      </c>
      <c r="F37" s="370"/>
      <c r="G37" s="370"/>
      <c r="H37" s="371"/>
      <c r="I37" s="2313"/>
      <c r="M37" s="253">
        <v>15</v>
      </c>
    </row>
    <row customHeight="1" ht="27.299999999999997">
      <c r="A38" s="1853"/>
      <c r="C38" s="266"/>
      <c r="D38" s="317" t="s">
        <v>894</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73"/>
      <c r="G38" s="2573"/>
      <c r="H38" s="2573"/>
      <c r="I38" s="426"/>
      <c r="M38" s="253">
        <v>26</v>
      </c>
    </row>
    <row customHeight="1" ht="14.699999999999998">
      <c r="A39" s="1853"/>
      <c r="C39" s="266"/>
      <c r="D39" s="317" t="s">
        <v>895</v>
      </c>
      <c r="E39" s="376" t="s">
        <v>1141</v>
      </c>
      <c r="F39" s="368"/>
      <c r="G39" s="377"/>
      <c r="H39" s="368" t="s">
        <v>309</v>
      </c>
      <c r="I39" s="2339" t="s">
        <v>1154</v>
      </c>
      <c r="L39" s="325" t="s">
        <v>1142</v>
      </c>
      <c r="M39" s="253">
        <v>14</v>
      </c>
    </row>
    <row customHeight="1" ht="15.75">
      <c r="A40" s="1853" t="s">
        <v>110</v>
      </c>
      <c r="C40" s="266"/>
      <c r="D40" s="279"/>
      <c r="E40" s="374" t="s">
        <v>325</v>
      </c>
      <c r="F40" s="370"/>
      <c r="G40" s="370"/>
      <c r="H40" s="371"/>
      <c r="I40" s="2341"/>
      <c r="M40" s="253">
        <v>15</v>
      </c>
    </row>
    <row s="12690" customFormat="1" customHeight="1" ht="3">
      <c r="A41" s="1853"/>
      <c r="K41" s="366"/>
      <c r="L41" s="366"/>
      <c r="M41" s="310">
        <v>3</v>
      </c>
    </row>
    <row customHeight="1" ht="26.25">
      <c r="D42" s="1851" t="s">
        <v>815</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55"/>
      <c r="G42" s="2455"/>
      <c r="H42" s="2455"/>
      <c r="I42" s="2455"/>
      <c r="M42" s="253">
        <v>25</v>
      </c>
    </row>
    <row customHeight="1" ht="22.5" hidden="1">
      <c r="A43" s="1532" t="s">
        <v>81</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5F651-D20E-7232-9297-36A0CC1F90D5}" mc:Ignorable="x14ac xr xr2 xr3">
  <sheetPr>
    <tabColor theme="6" tint="0.4"/>
  </sheetPr>
  <dimension ref="A1:AH335"/>
  <sheetViews>
    <sheetView topLeftCell="A1" showGridLines="0" zoomScale="90" workbookViewId="0">
      <selection activeCell="K313" sqref="K313"/>
    </sheetView>
  </sheetViews>
  <sheetFormatPr defaultColWidth="10.57421875" customHeight="1" defaultRowHeight="14.25"/>
  <cols>
    <col min="1" max="2" style="12744" width="25.140625" hidden="1" customWidth="1"/>
    <col min="3" max="3" style="12745" width="9.140625" hidden="1" customWidth="1"/>
    <col min="4" max="4" style="10534" width="3.00390625" customWidth="1"/>
    <col min="5" max="5" style="9589" width="6.00390625" customWidth="1"/>
    <col min="6" max="6" style="9589" width="46.7109375" customWidth="1"/>
    <col min="7" max="7" style="9589" width="35.00390625" customWidth="1"/>
    <col min="8" max="8" style="9589" width="3.00390625" customWidth="1"/>
    <col min="9" max="9" style="9589" width="11.00390625" customWidth="1"/>
    <col min="10" max="10" style="9589" width="12.7109375" customWidth="1"/>
    <col min="11" max="12" style="9589" width="35.00390625" customWidth="1"/>
    <col min="13" max="13" style="9589" width="84.00390625" customWidth="1"/>
    <col min="14" max="14" style="9589" width="10.00390625" customWidth="1"/>
    <col min="15" max="16" style="9756" width="10.00390625" customWidth="1"/>
    <col min="17" max="33" style="9589" width="10.00390625" customWidth="1"/>
    <col min="34" max="34" style="9589" width="10.57421875" hidden="1"/>
  </cols>
  <sheetData>
    <row s="9589"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9589" customFormat="1" customHeight="1" ht="18.75" hidden="1">
      <c r="A2" s="1950" t="s">
        <v>154</v>
      </c>
      <c r="B2" s="1950" t="s">
        <v>155</v>
      </c>
      <c r="C2" s="539"/>
      <c r="D2" s="514"/>
      <c r="E2" s="1201"/>
      <c r="F2" s="1201"/>
      <c r="G2" s="2597" t="str">
        <f>INDEX(PT_DIFFERENTIATION_NTAR,MATCH(B2,PT_DIFFERENTIATION_NTAR_ID,0))</f>
        <v/>
      </c>
      <c r="H2" s="2034"/>
      <c r="I2" s="1909"/>
      <c r="J2" s="1943"/>
      <c r="K2" s="2035"/>
      <c r="L2" s="2034" t="s">
        <v>309</v>
      </c>
      <c r="M2" s="2045"/>
      <c r="N2" s="504"/>
      <c r="O2" s="1794"/>
      <c r="P2" s="1794"/>
      <c r="AH2" s="1801">
        <v>0</v>
      </c>
    </row>
    <row s="9589" customFormat="1" customHeight="1" ht="18.75" hidden="1">
      <c r="A3" s="1950"/>
      <c r="B3" s="1950"/>
      <c r="C3" s="539" t="s">
        <v>1155</v>
      </c>
      <c r="D3" s="514"/>
      <c r="E3" s="1201"/>
      <c r="F3" s="1201"/>
      <c r="G3" s="2597"/>
      <c r="H3" s="1670"/>
      <c r="I3" s="821" t="s">
        <v>1156</v>
      </c>
      <c r="J3" s="741"/>
      <c r="K3" s="1670"/>
      <c r="L3" s="384"/>
      <c r="M3" s="2045"/>
      <c r="N3" s="504"/>
      <c r="O3" s="1794"/>
      <c r="P3" s="1794"/>
      <c r="AH3" s="1801">
        <v>0</v>
      </c>
    </row>
    <row s="9589"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9589" customFormat="1" customHeight="1" ht="18.75" hidden="1">
      <c r="A5" s="1950" t="s">
        <v>154</v>
      </c>
      <c r="B5" s="1950" t="s">
        <v>155</v>
      </c>
      <c r="C5" s="539"/>
      <c r="D5" s="514"/>
      <c r="E5" s="1201"/>
      <c r="F5" s="1201"/>
      <c r="G5" s="2597" t="str">
        <f>INDEX(PT_DIFFERENTIATION_NTAR,MATCH(B5,PT_DIFFERENTIATION_NTAR_ID,0))</f>
        <v/>
      </c>
      <c r="H5" s="2034"/>
      <c r="I5" s="1909"/>
      <c r="J5" s="1943"/>
      <c r="K5" s="1948"/>
      <c r="L5" s="2034" t="s">
        <v>309</v>
      </c>
      <c r="M5" s="2045"/>
      <c r="N5" s="504"/>
      <c r="O5" s="1794"/>
      <c r="P5" s="1794"/>
      <c r="AH5" s="1801">
        <v>0</v>
      </c>
    </row>
    <row s="9589" customFormat="1" customHeight="1" ht="18.75" hidden="1">
      <c r="A6" s="1950"/>
      <c r="B6" s="1950"/>
      <c r="C6" s="539" t="s">
        <v>1157</v>
      </c>
      <c r="D6" s="514"/>
      <c r="E6" s="1201"/>
      <c r="F6" s="1201"/>
      <c r="G6" s="2597"/>
      <c r="H6" s="1670"/>
      <c r="I6" s="821" t="s">
        <v>1156</v>
      </c>
      <c r="J6" s="741"/>
      <c r="K6" s="1670"/>
      <c r="L6" s="384"/>
      <c r="M6" s="2045"/>
      <c r="N6" s="504"/>
      <c r="O6" s="1794"/>
      <c r="P6" s="1794"/>
      <c r="AH6" s="1801">
        <v>0</v>
      </c>
    </row>
    <row s="9589"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9589" customFormat="1" customHeight="1" ht="56.25" hidden="1">
      <c r="A8" s="1950"/>
      <c r="B8" s="1950"/>
      <c r="C8" s="539"/>
      <c r="D8" s="514"/>
      <c r="E8" s="1201"/>
      <c r="F8" s="1201"/>
      <c r="G8" s="1201"/>
      <c r="H8" s="1941"/>
      <c r="I8" s="1909"/>
      <c r="J8" s="1943"/>
      <c r="K8" s="2035"/>
      <c r="L8" s="1941" t="s">
        <v>309</v>
      </c>
      <c r="M8" s="2045"/>
      <c r="N8" s="504"/>
      <c r="O8" s="1794"/>
      <c r="P8" s="1794"/>
      <c r="AH8" s="1801">
        <v>0</v>
      </c>
    </row>
    <row customHeight="1" ht="14.25" hidden="1">
      <c r="T9" s="567"/>
      <c r="AG9" s="425"/>
      <c r="AH9" s="544">
        <v>0</v>
      </c>
    </row>
    <row s="9589" customFormat="1" customHeight="1" ht="56.25" hidden="1">
      <c r="A10" s="1950"/>
      <c r="B10" s="1950"/>
      <c r="C10" s="539"/>
      <c r="D10" s="514"/>
      <c r="E10" s="1201"/>
      <c r="F10" s="1201"/>
      <c r="G10" s="1201"/>
      <c r="H10" s="1940"/>
      <c r="I10" s="1909"/>
      <c r="J10" s="1943"/>
      <c r="K10" s="1948"/>
      <c r="L10" s="1941" t="s">
        <v>309</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45408.40866898148</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1005,1062</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303</v>
      </c>
      <c r="F19" s="2379"/>
      <c r="G19" s="2379"/>
      <c r="H19" s="2379"/>
      <c r="I19" s="2379"/>
      <c r="J19" s="2379"/>
      <c r="K19" s="2379"/>
      <c r="L19" s="2379"/>
      <c r="M19" s="2559" t="s">
        <v>304</v>
      </c>
      <c r="AH19" s="544">
        <v>21</v>
      </c>
    </row>
    <row customHeight="1" ht="22.049999999999997">
      <c r="D20" s="546"/>
      <c r="E20" s="2447" t="s">
        <v>87</v>
      </c>
      <c r="F20" s="2394" t="s">
        <v>121</v>
      </c>
      <c r="G20" s="2394" t="s">
        <v>122</v>
      </c>
      <c r="H20" s="2556" t="s">
        <v>1158</v>
      </c>
      <c r="I20" s="2557"/>
      <c r="J20" s="2603"/>
      <c r="K20" s="2394" t="s">
        <v>306</v>
      </c>
      <c r="L20" s="2394" t="s">
        <v>393</v>
      </c>
      <c r="M20" s="2559"/>
      <c r="AH20" s="544">
        <v>21</v>
      </c>
    </row>
    <row customHeight="1" ht="22.049999999999997">
      <c r="D21" s="546"/>
      <c r="E21" s="2449"/>
      <c r="F21" s="2395"/>
      <c r="G21" s="2395"/>
      <c r="H21" s="2388" t="s">
        <v>1159</v>
      </c>
      <c r="I21" s="2390"/>
      <c r="J21" s="278" t="s">
        <v>1160</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108</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309</v>
      </c>
      <c r="L23" s="2631"/>
      <c r="M23" s="1939"/>
      <c r="N23" s="504"/>
      <c r="AH23" s="544">
        <v>19</v>
      </c>
    </row>
    <row customHeight="1" ht="60.75" hidden="1">
      <c r="A24" s="1950" t="s">
        <v>154</v>
      </c>
      <c r="B24" s="1950" t="s">
        <v>155</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309</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9589" customFormat="1" customHeight="1" ht="18.75" hidden="1">
      <c r="A25" s="1950"/>
      <c r="B25" s="1950"/>
      <c r="C25" s="539" t="s">
        <v>1155</v>
      </c>
      <c r="D25" s="2636"/>
      <c r="E25" s="2374"/>
      <c r="F25" s="2640"/>
      <c r="G25" s="2597"/>
      <c r="H25" s="1670"/>
      <c r="I25" s="821" t="s">
        <v>1156</v>
      </c>
      <c r="J25" s="741"/>
      <c r="K25" s="1670"/>
      <c r="L25" s="384"/>
      <c r="M25" s="2340"/>
      <c r="N25" s="504"/>
      <c r="O25" s="1794"/>
      <c r="P25" s="1794"/>
      <c r="AH25" s="1801">
        <v>0</v>
      </c>
    </row>
    <row customHeight="1" ht="0.75" hidden="1">
      <c r="A26" s="1950"/>
      <c r="B26" s="1950"/>
      <c r="C26" s="539" t="s">
        <v>1161</v>
      </c>
      <c r="D26" s="2636"/>
      <c r="E26" s="2374"/>
      <c r="F26" s="2553"/>
      <c r="G26" s="570"/>
      <c r="H26" s="1670"/>
      <c r="I26" s="565"/>
      <c r="J26" s="519"/>
      <c r="K26" s="1670"/>
      <c r="L26" s="371"/>
      <c r="M26" s="2340"/>
      <c r="N26" s="504"/>
      <c r="AH26" s="544">
        <v>0</v>
      </c>
    </row>
    <row s="9589" customFormat="1" customHeight="1" ht="45" hidden="1">
      <c r="A27" s="1950" t="s">
        <v>159</v>
      </c>
      <c r="B27" s="1950" t="s">
        <v>160</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309</v>
      </c>
      <c r="M27" s="2340"/>
      <c r="N27" s="504"/>
      <c r="O27" s="1794"/>
      <c r="P27" s="1794"/>
      <c r="AH27" s="1801">
        <v>0</v>
      </c>
    </row>
    <row s="9589" customFormat="1" customHeight="1" ht="18.75" hidden="1">
      <c r="A28" s="1950"/>
      <c r="B28" s="1950"/>
      <c r="C28" s="539" t="s">
        <v>1155</v>
      </c>
      <c r="D28" s="2632"/>
      <c r="E28" s="2633"/>
      <c r="F28" s="2634"/>
      <c r="G28" s="2597"/>
      <c r="H28" s="1670"/>
      <c r="I28" s="821" t="s">
        <v>1156</v>
      </c>
      <c r="J28" s="741"/>
      <c r="K28" s="1670"/>
      <c r="L28" s="384"/>
      <c r="M28" s="2340"/>
      <c r="N28" s="504"/>
      <c r="O28" s="1794"/>
      <c r="P28" s="1794"/>
      <c r="AH28" s="1801">
        <v>0</v>
      </c>
    </row>
    <row s="9589" customFormat="1" customHeight="1" ht="0.75" hidden="1">
      <c r="A29" s="1950"/>
      <c r="B29" s="1950"/>
      <c r="C29" s="539" t="s">
        <v>1161</v>
      </c>
      <c r="D29" s="2632"/>
      <c r="E29" s="2374"/>
      <c r="F29" s="2553"/>
      <c r="G29" s="570"/>
      <c r="H29" s="1670"/>
      <c r="I29" s="821"/>
      <c r="J29" s="741"/>
      <c r="K29" s="1670"/>
      <c r="L29" s="384"/>
      <c r="M29" s="2340"/>
      <c r="N29" s="504"/>
      <c r="O29" s="1794"/>
      <c r="P29" s="1794"/>
      <c r="AH29" s="1801">
        <v>0</v>
      </c>
    </row>
    <row s="9589" customFormat="1" customHeight="1" ht="45" hidden="1">
      <c r="A30" s="1950" t="s">
        <v>166</v>
      </c>
      <c r="B30" s="1950" t="s">
        <v>167</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309</v>
      </c>
      <c r="M30" s="2340"/>
      <c r="N30" s="504"/>
      <c r="O30" s="1794"/>
      <c r="P30" s="1794"/>
      <c r="AH30" s="1801">
        <v>0</v>
      </c>
    </row>
    <row s="9589" customFormat="1" customHeight="1" ht="18.75" hidden="1">
      <c r="A31" s="1950"/>
      <c r="B31" s="1950"/>
      <c r="C31" s="539" t="s">
        <v>1155</v>
      </c>
      <c r="D31" s="2632"/>
      <c r="E31" s="2374"/>
      <c r="F31" s="2553"/>
      <c r="G31" s="2597"/>
      <c r="H31" s="1670"/>
      <c r="I31" s="821" t="s">
        <v>1156</v>
      </c>
      <c r="J31" s="741"/>
      <c r="K31" s="1670"/>
      <c r="L31" s="384"/>
      <c r="M31" s="2340"/>
      <c r="N31" s="504"/>
      <c r="O31" s="1794"/>
      <c r="P31" s="1794"/>
      <c r="AH31" s="1801">
        <v>0</v>
      </c>
    </row>
    <row s="9589" customFormat="1" customHeight="1" ht="0.75" hidden="1">
      <c r="A32" s="1950"/>
      <c r="B32" s="1950"/>
      <c r="C32" s="539" t="s">
        <v>1161</v>
      </c>
      <c r="D32" s="2632"/>
      <c r="E32" s="2374"/>
      <c r="F32" s="2553"/>
      <c r="G32" s="570"/>
      <c r="H32" s="1670"/>
      <c r="I32" s="821"/>
      <c r="J32" s="741"/>
      <c r="K32" s="1670"/>
      <c r="L32" s="384"/>
      <c r="M32" s="2340"/>
      <c r="N32" s="504"/>
      <c r="O32" s="1794"/>
      <c r="P32" s="1794"/>
      <c r="AH32" s="1801">
        <v>0</v>
      </c>
    </row>
    <row s="9589" customFormat="1" customHeight="1" ht="45" hidden="1">
      <c r="A33" s="1950" t="s">
        <v>172</v>
      </c>
      <c r="B33" s="1950" t="s">
        <v>173</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309</v>
      </c>
      <c r="M33" s="2340"/>
      <c r="N33" s="504"/>
      <c r="O33" s="1794"/>
      <c r="P33" s="1794"/>
      <c r="AH33" s="1801">
        <v>0</v>
      </c>
    </row>
    <row s="9589" customFormat="1" customHeight="1" ht="18.75" hidden="1">
      <c r="A34" s="1950"/>
      <c r="B34" s="1950"/>
      <c r="C34" s="539" t="s">
        <v>1155</v>
      </c>
      <c r="D34" s="2632"/>
      <c r="E34" s="2374"/>
      <c r="F34" s="2553"/>
      <c r="G34" s="2597"/>
      <c r="H34" s="1670"/>
      <c r="I34" s="821" t="s">
        <v>1156</v>
      </c>
      <c r="J34" s="741"/>
      <c r="K34" s="1670"/>
      <c r="L34" s="384"/>
      <c r="M34" s="2340"/>
      <c r="N34" s="504"/>
      <c r="O34" s="1794"/>
      <c r="P34" s="1794"/>
      <c r="AH34" s="1801">
        <v>0</v>
      </c>
    </row>
    <row s="9589" customFormat="1" customHeight="1" ht="0.75" hidden="1">
      <c r="A35" s="1950"/>
      <c r="B35" s="1950"/>
      <c r="C35" s="539" t="s">
        <v>1161</v>
      </c>
      <c r="D35" s="2632"/>
      <c r="E35" s="2374"/>
      <c r="F35" s="2553"/>
      <c r="G35" s="570"/>
      <c r="H35" s="1670"/>
      <c r="I35" s="821"/>
      <c r="J35" s="741"/>
      <c r="K35" s="1670"/>
      <c r="L35" s="384"/>
      <c r="M35" s="2340"/>
      <c r="N35" s="504"/>
      <c r="O35" s="1794"/>
      <c r="P35" s="1794"/>
      <c r="AH35" s="1801">
        <v>0</v>
      </c>
    </row>
    <row s="9589" customFormat="1" customHeight="1" ht="18.75" hidden="1">
      <c r="A36" s="1950" t="s">
        <v>178</v>
      </c>
      <c r="B36" s="1950" t="s">
        <v>179</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309</v>
      </c>
      <c r="M36" s="2340"/>
      <c r="N36" s="504"/>
      <c r="O36" s="1794"/>
      <c r="P36" s="1794"/>
      <c r="AH36" s="1801">
        <v>0</v>
      </c>
    </row>
    <row s="9589" customFormat="1" customHeight="1" ht="18.75" hidden="1">
      <c r="A37" s="1950"/>
      <c r="B37" s="1950"/>
      <c r="C37" s="539" t="s">
        <v>1155</v>
      </c>
      <c r="D37" s="2632"/>
      <c r="E37" s="2374"/>
      <c r="F37" s="2553"/>
      <c r="G37" s="2597"/>
      <c r="H37" s="1670"/>
      <c r="I37" s="821" t="s">
        <v>1156</v>
      </c>
      <c r="J37" s="741"/>
      <c r="K37" s="1670"/>
      <c r="L37" s="384"/>
      <c r="M37" s="2340"/>
      <c r="N37" s="504"/>
      <c r="O37" s="1794"/>
      <c r="P37" s="1794"/>
      <c r="AH37" s="1801">
        <v>0</v>
      </c>
    </row>
    <row s="9589" customFormat="1" customHeight="1" ht="0.75" hidden="1">
      <c r="A38" s="1950"/>
      <c r="B38" s="1950"/>
      <c r="C38" s="539" t="s">
        <v>1161</v>
      </c>
      <c r="D38" s="2632"/>
      <c r="E38" s="2374"/>
      <c r="F38" s="2553"/>
      <c r="G38" s="570"/>
      <c r="H38" s="1670"/>
      <c r="I38" s="821"/>
      <c r="J38" s="741"/>
      <c r="K38" s="1670"/>
      <c r="L38" s="384"/>
      <c r="M38" s="2340"/>
      <c r="N38" s="504"/>
      <c r="O38" s="1794"/>
      <c r="P38" s="1794"/>
      <c r="AH38" s="1801">
        <v>0</v>
      </c>
    </row>
    <row s="9589" customFormat="1" customHeight="1" ht="18.75" hidden="1">
      <c r="A39" s="1950" t="s">
        <v>184</v>
      </c>
      <c r="B39" s="1950" t="s">
        <v>185</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309</v>
      </c>
      <c r="M39" s="2340"/>
      <c r="N39" s="504"/>
      <c r="O39" s="1794"/>
      <c r="P39" s="1794"/>
      <c r="AH39" s="1801">
        <v>0</v>
      </c>
    </row>
    <row s="9589" customFormat="1" customHeight="1" ht="18.75" hidden="1">
      <c r="A40" s="1950"/>
      <c r="B40" s="1950"/>
      <c r="C40" s="539" t="s">
        <v>1155</v>
      </c>
      <c r="D40" s="2632"/>
      <c r="E40" s="2374"/>
      <c r="F40" s="2553"/>
      <c r="G40" s="2597"/>
      <c r="H40" s="1670"/>
      <c r="I40" s="821" t="s">
        <v>1156</v>
      </c>
      <c r="J40" s="741"/>
      <c r="K40" s="1670"/>
      <c r="L40" s="384"/>
      <c r="M40" s="2340"/>
      <c r="N40" s="504"/>
      <c r="O40" s="1794"/>
      <c r="P40" s="1794"/>
      <c r="AH40" s="1801">
        <v>0</v>
      </c>
    </row>
    <row s="9589" customFormat="1" customHeight="1" ht="0.75" hidden="1">
      <c r="A41" s="1950"/>
      <c r="B41" s="1950"/>
      <c r="C41" s="539" t="s">
        <v>1161</v>
      </c>
      <c r="D41" s="2632"/>
      <c r="E41" s="2374"/>
      <c r="F41" s="2553"/>
      <c r="G41" s="570"/>
      <c r="H41" s="1670"/>
      <c r="I41" s="821"/>
      <c r="J41" s="741"/>
      <c r="K41" s="1670"/>
      <c r="L41" s="384"/>
      <c r="M41" s="2340"/>
      <c r="N41" s="504"/>
      <c r="O41" s="1794"/>
      <c r="P41" s="1794"/>
      <c r="AH41" s="1801">
        <v>0</v>
      </c>
    </row>
    <row s="9589" customFormat="1" customHeight="1" ht="18.75" hidden="1">
      <c r="A42" s="1950" t="s">
        <v>190</v>
      </c>
      <c r="B42" s="1950" t="s">
        <v>191</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309</v>
      </c>
      <c r="M42" s="2340"/>
      <c r="N42" s="504"/>
      <c r="O42" s="1794"/>
      <c r="P42" s="1794"/>
      <c r="AH42" s="1801">
        <v>0</v>
      </c>
    </row>
    <row s="9589" customFormat="1" customHeight="1" ht="18.75" hidden="1">
      <c r="A43" s="1950"/>
      <c r="B43" s="1950"/>
      <c r="C43" s="539" t="s">
        <v>1155</v>
      </c>
      <c r="D43" s="2632"/>
      <c r="E43" s="2374"/>
      <c r="F43" s="2553"/>
      <c r="G43" s="2597"/>
      <c r="H43" s="1670"/>
      <c r="I43" s="821" t="s">
        <v>1156</v>
      </c>
      <c r="J43" s="741"/>
      <c r="K43" s="1670"/>
      <c r="L43" s="384"/>
      <c r="M43" s="2340"/>
      <c r="N43" s="504"/>
      <c r="O43" s="1794"/>
      <c r="P43" s="1794"/>
      <c r="AH43" s="1801">
        <v>0</v>
      </c>
    </row>
    <row s="9589" customFormat="1" customHeight="1" ht="0.75" hidden="1">
      <c r="A44" s="1950"/>
      <c r="B44" s="1950"/>
      <c r="C44" s="539" t="s">
        <v>1161</v>
      </c>
      <c r="D44" s="2632"/>
      <c r="E44" s="2374"/>
      <c r="F44" s="2553"/>
      <c r="G44" s="570"/>
      <c r="H44" s="1670"/>
      <c r="I44" s="821"/>
      <c r="J44" s="741"/>
      <c r="K44" s="1670"/>
      <c r="L44" s="384"/>
      <c r="M44" s="2340"/>
      <c r="N44" s="504"/>
      <c r="O44" s="1794"/>
      <c r="P44" s="1794"/>
      <c r="AH44" s="1801">
        <v>0</v>
      </c>
    </row>
    <row s="9589" customFormat="1" customHeight="1" ht="18.75" hidden="1">
      <c r="A45" s="1950" t="s">
        <v>196</v>
      </c>
      <c r="B45" s="1950" t="s">
        <v>197</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309</v>
      </c>
      <c r="M45" s="2340"/>
      <c r="N45" s="504"/>
      <c r="O45" s="1794"/>
      <c r="P45" s="1794"/>
      <c r="AH45" s="1801">
        <v>0</v>
      </c>
    </row>
    <row s="9589" customFormat="1" customHeight="1" ht="18.75" hidden="1">
      <c r="A46" s="1950"/>
      <c r="B46" s="1950"/>
      <c r="C46" s="539" t="s">
        <v>1155</v>
      </c>
      <c r="D46" s="2632"/>
      <c r="E46" s="2374"/>
      <c r="F46" s="2553"/>
      <c r="G46" s="2597"/>
      <c r="H46" s="1670"/>
      <c r="I46" s="821" t="s">
        <v>1156</v>
      </c>
      <c r="J46" s="741"/>
      <c r="K46" s="1670"/>
      <c r="L46" s="384"/>
      <c r="M46" s="2340"/>
      <c r="N46" s="504"/>
      <c r="O46" s="1794"/>
      <c r="P46" s="1794"/>
      <c r="AH46" s="1801">
        <v>0</v>
      </c>
    </row>
    <row s="9589" customFormat="1" customHeight="1" ht="0.75" hidden="1">
      <c r="A47" s="1950"/>
      <c r="B47" s="1950"/>
      <c r="C47" s="539" t="s">
        <v>1161</v>
      </c>
      <c r="D47" s="2632"/>
      <c r="E47" s="2374"/>
      <c r="F47" s="2553"/>
      <c r="G47" s="570"/>
      <c r="H47" s="1670"/>
      <c r="I47" s="821"/>
      <c r="J47" s="741"/>
      <c r="K47" s="1670"/>
      <c r="L47" s="384"/>
      <c r="M47" s="2340"/>
      <c r="N47" s="504"/>
      <c r="O47" s="1794"/>
      <c r="P47" s="1794"/>
      <c r="AH47" s="1801">
        <v>0</v>
      </c>
    </row>
    <row s="9589" customFormat="1" customHeight="1" ht="18.75" hidden="1">
      <c r="A48" s="1950" t="s">
        <v>202</v>
      </c>
      <c r="B48" s="1950" t="s">
        <v>203</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309</v>
      </c>
      <c r="M48" s="2340"/>
      <c r="N48" s="504"/>
      <c r="O48" s="1794"/>
      <c r="P48" s="1794"/>
      <c r="AH48" s="1801">
        <v>0</v>
      </c>
    </row>
    <row s="9589" customFormat="1" customHeight="1" ht="18.75" hidden="1">
      <c r="A49" s="1950"/>
      <c r="B49" s="1950"/>
      <c r="C49" s="539" t="s">
        <v>1155</v>
      </c>
      <c r="D49" s="2632"/>
      <c r="E49" s="2374"/>
      <c r="F49" s="2553"/>
      <c r="G49" s="2597"/>
      <c r="H49" s="1670"/>
      <c r="I49" s="821" t="s">
        <v>1156</v>
      </c>
      <c r="J49" s="741"/>
      <c r="K49" s="1670"/>
      <c r="L49" s="384"/>
      <c r="M49" s="2340"/>
      <c r="N49" s="504"/>
      <c r="O49" s="1794"/>
      <c r="P49" s="1794"/>
      <c r="AH49" s="1801">
        <v>0</v>
      </c>
    </row>
    <row s="9589" customFormat="1" customHeight="1" ht="0.75" hidden="1">
      <c r="A50" s="1950"/>
      <c r="B50" s="1950"/>
      <c r="C50" s="539" t="s">
        <v>1161</v>
      </c>
      <c r="D50" s="2632"/>
      <c r="E50" s="2374"/>
      <c r="F50" s="2553"/>
      <c r="G50" s="570"/>
      <c r="H50" s="1670"/>
      <c r="I50" s="821"/>
      <c r="J50" s="741"/>
      <c r="K50" s="1670"/>
      <c r="L50" s="384"/>
      <c r="M50" s="2340"/>
      <c r="N50" s="504"/>
      <c r="O50" s="1794"/>
      <c r="P50" s="1794"/>
      <c r="AH50" s="1801">
        <v>0</v>
      </c>
    </row>
    <row s="9589" customFormat="1" customHeight="1" ht="18.75">
      <c r="A51" s="1950" t="s">
        <v>224</v>
      </c>
      <c r="B51" s="1950" t="s">
        <v>225</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Холодное водоснабжение. Питьевая вода</v>
      </c>
      <c r="H51" s="2032"/>
      <c r="I51" s="4826">
        <v>45658.41306712963</v>
      </c>
      <c r="J51" s="4827">
        <v>45838.413252314815</v>
      </c>
      <c r="K51" s="2035" t="s">
        <v>1162</v>
      </c>
      <c r="L51" s="2032" t="s">
        <v>309</v>
      </c>
      <c r="M51" s="2340"/>
      <c r="N51" s="504"/>
      <c r="O51" s="1794"/>
      <c r="P51" s="1794"/>
      <c r="AH51" s="1801">
        <v>0</v>
      </c>
    </row>
    <row s="12726" customFormat="1" customHeight="1" ht="56.25">
      <c r="A52" s="4828"/>
      <c r="B52" s="4828"/>
      <c r="C52" s="4829"/>
      <c r="D52" s="4830"/>
      <c r="E52" s="4831"/>
      <c r="F52" s="4831"/>
      <c r="G52" s="4831"/>
      <c r="H52" s="4056" t="s">
        <v>489</v>
      </c>
      <c r="I52" s="4826">
        <v>45839.413356481484</v>
      </c>
      <c r="J52" s="4827">
        <v>46022.4134375</v>
      </c>
      <c r="K52" s="4832" t="s">
        <v>1162</v>
      </c>
      <c r="L52" s="4056" t="s">
        <v>309</v>
      </c>
      <c r="M52" s="4833"/>
      <c r="N52" s="4834"/>
      <c r="O52" s="4835"/>
      <c r="P52" s="4835"/>
      <c r="Q52" s="3973"/>
      <c r="R52" s="3973"/>
      <c r="S52" s="3973"/>
      <c r="T52" s="3973"/>
      <c r="U52" s="3973"/>
      <c r="V52" s="3973"/>
      <c r="W52" s="3973"/>
      <c r="X52" s="3973"/>
      <c r="Y52" s="3973"/>
      <c r="Z52" s="3973"/>
      <c r="AA52" s="3973"/>
      <c r="AB52" s="3973"/>
      <c r="AC52" s="3973"/>
      <c r="AD52" s="3973"/>
      <c r="AE52" s="3973"/>
      <c r="AF52" s="3973"/>
      <c r="AG52" s="3973"/>
      <c r="AH52" s="3973">
        <v>0</v>
      </c>
    </row>
    <row s="9589" customFormat="1" customHeight="1" ht="18.75">
      <c r="A53" s="1950"/>
      <c r="B53" s="1950"/>
      <c r="C53" s="539" t="s">
        <v>1155</v>
      </c>
      <c r="D53" s="2632"/>
      <c r="E53" s="2374"/>
      <c r="F53" s="2553"/>
      <c r="G53" s="2597"/>
      <c r="H53" s="1670"/>
      <c r="I53" s="821" t="s">
        <v>1156</v>
      </c>
      <c r="J53" s="741"/>
      <c r="K53" s="1670"/>
      <c r="L53" s="384"/>
      <c r="M53" s="2340"/>
      <c r="N53" s="504"/>
      <c r="O53" s="1794"/>
      <c r="P53" s="1794"/>
      <c r="AH53" s="1801">
        <v>0</v>
      </c>
    </row>
    <row s="9589" customFormat="1" customHeight="1" ht="0.75">
      <c r="A54" s="1950"/>
      <c r="B54" s="1950"/>
      <c r="C54" s="539" t="s">
        <v>1161</v>
      </c>
      <c r="D54" s="2632"/>
      <c r="E54" s="2374"/>
      <c r="F54" s="2553"/>
      <c r="G54" s="570"/>
      <c r="H54" s="1670"/>
      <c r="I54" s="821"/>
      <c r="J54" s="741"/>
      <c r="K54" s="1670"/>
      <c r="L54" s="384"/>
      <c r="M54" s="2340"/>
      <c r="N54" s="504"/>
      <c r="O54" s="1794"/>
      <c r="P54" s="1794"/>
      <c r="AH54" s="1801">
        <v>0</v>
      </c>
    </row>
    <row s="9589" customFormat="1" customHeight="1" ht="18.75" hidden="1">
      <c r="A55" s="1950" t="s">
        <v>232</v>
      </c>
      <c r="B55" s="1950" t="s">
        <v>233</v>
      </c>
      <c r="C55" s="539"/>
      <c r="D55" s="2632"/>
      <c r="E55" s="2374"/>
      <c r="F55" s="2553" t="str">
        <f>INDEX(PT_DIFFERENTIATION_VTAR,MATCH(A55,PT_DIFFERENTIATION_VTAR_ID,0))</f>
        <v>Тариф на техническую воду</v>
      </c>
      <c r="G55" s="2597" t="str">
        <f>INDEX(PT_DIFFERENTIATION_NTAR,MATCH(B55,PT_DIFFERENTIATION_NTAR_ID,0))</f>
        <v/>
      </c>
      <c r="H55" s="2032"/>
      <c r="I55" s="1909"/>
      <c r="J55" s="1943"/>
      <c r="K55" s="2035"/>
      <c r="L55" s="2032" t="s">
        <v>309</v>
      </c>
      <c r="M55" s="2340"/>
      <c r="N55" s="504"/>
      <c r="O55" s="1794"/>
      <c r="P55" s="1794"/>
      <c r="AH55" s="1801">
        <v>0</v>
      </c>
    </row>
    <row s="9589" customFormat="1" customHeight="1" ht="18.75" hidden="1">
      <c r="A56" s="1950"/>
      <c r="B56" s="1950"/>
      <c r="C56" s="539" t="s">
        <v>1155</v>
      </c>
      <c r="D56" s="2632"/>
      <c r="E56" s="2374"/>
      <c r="F56" s="2553"/>
      <c r="G56" s="2597"/>
      <c r="H56" s="1670"/>
      <c r="I56" s="821" t="s">
        <v>1156</v>
      </c>
      <c r="J56" s="741"/>
      <c r="K56" s="1670"/>
      <c r="L56" s="384"/>
      <c r="M56" s="2340"/>
      <c r="N56" s="504"/>
      <c r="O56" s="1794"/>
      <c r="P56" s="1794"/>
      <c r="AH56" s="1801">
        <v>0</v>
      </c>
    </row>
    <row s="9589" customFormat="1" customHeight="1" ht="0.75" hidden="1">
      <c r="A57" s="1950"/>
      <c r="B57" s="1950"/>
      <c r="C57" s="539" t="s">
        <v>1161</v>
      </c>
      <c r="D57" s="2632"/>
      <c r="E57" s="2374"/>
      <c r="F57" s="2553"/>
      <c r="G57" s="570"/>
      <c r="H57" s="1670"/>
      <c r="I57" s="821"/>
      <c r="J57" s="741"/>
      <c r="K57" s="1670"/>
      <c r="L57" s="384"/>
      <c r="M57" s="2340"/>
      <c r="N57" s="504"/>
      <c r="O57" s="1794"/>
      <c r="P57" s="1794"/>
      <c r="AH57" s="1801">
        <v>0</v>
      </c>
    </row>
    <row s="9589" customFormat="1" customHeight="1" ht="18.75" hidden="1">
      <c r="A58" s="1950" t="s">
        <v>237</v>
      </c>
      <c r="B58" s="1950" t="s">
        <v>238</v>
      </c>
      <c r="C58" s="539"/>
      <c r="D58" s="2632"/>
      <c r="E58" s="2374"/>
      <c r="F58" s="2553" t="str">
        <f>INDEX(PT_DIFFERENTIATION_VTAR,MATCH(A58,PT_DIFFERENTIATION_VTAR_ID,0))</f>
        <v>Тариф на транспортировку воды</v>
      </c>
      <c r="G58" s="2597" t="str">
        <f>INDEX(PT_DIFFERENTIATION_NTAR,MATCH(B58,PT_DIFFERENTIATION_NTAR_ID,0))</f>
        <v/>
      </c>
      <c r="H58" s="2032"/>
      <c r="I58" s="1909"/>
      <c r="J58" s="1943"/>
      <c r="K58" s="2035"/>
      <c r="L58" s="2032" t="s">
        <v>309</v>
      </c>
      <c r="M58" s="2340"/>
      <c r="N58" s="504"/>
      <c r="O58" s="1794"/>
      <c r="P58" s="1794"/>
      <c r="AH58" s="1801">
        <v>0</v>
      </c>
    </row>
    <row s="9589" customFormat="1" customHeight="1" ht="18.75" hidden="1">
      <c r="A59" s="1950"/>
      <c r="B59" s="1950"/>
      <c r="C59" s="539" t="s">
        <v>1155</v>
      </c>
      <c r="D59" s="2632"/>
      <c r="E59" s="2374"/>
      <c r="F59" s="2553"/>
      <c r="G59" s="2597"/>
      <c r="H59" s="1670"/>
      <c r="I59" s="821" t="s">
        <v>1156</v>
      </c>
      <c r="J59" s="741"/>
      <c r="K59" s="1670"/>
      <c r="L59" s="384"/>
      <c r="M59" s="2340"/>
      <c r="N59" s="504"/>
      <c r="O59" s="1794"/>
      <c r="P59" s="1794"/>
      <c r="AH59" s="1801">
        <v>0</v>
      </c>
    </row>
    <row s="9589" customFormat="1" customHeight="1" ht="0.75" hidden="1">
      <c r="A60" s="1950"/>
      <c r="B60" s="1950"/>
      <c r="C60" s="539" t="s">
        <v>1161</v>
      </c>
      <c r="D60" s="2632"/>
      <c r="E60" s="2374"/>
      <c r="F60" s="2553"/>
      <c r="G60" s="570"/>
      <c r="H60" s="1670"/>
      <c r="I60" s="821"/>
      <c r="J60" s="741"/>
      <c r="K60" s="1670"/>
      <c r="L60" s="384"/>
      <c r="M60" s="2340"/>
      <c r="N60" s="504"/>
      <c r="O60" s="1794"/>
      <c r="P60" s="1794"/>
      <c r="AH60" s="1801">
        <v>0</v>
      </c>
    </row>
    <row s="9589" customFormat="1" customHeight="1" ht="18.75" hidden="1">
      <c r="A61" s="1950" t="s">
        <v>242</v>
      </c>
      <c r="B61" s="1950" t="s">
        <v>243</v>
      </c>
      <c r="C61" s="539"/>
      <c r="D61" s="2632"/>
      <c r="E61" s="2374"/>
      <c r="F61" s="2553" t="str">
        <f>INDEX(PT_DIFFERENTIATION_VTAR,MATCH(A61,PT_DIFFERENTIATION_VTAR_ID,0))</f>
        <v>Тариф на подвоз воды</v>
      </c>
      <c r="G61" s="2597" t="str">
        <f>INDEX(PT_DIFFERENTIATION_NTAR,MATCH(B61,PT_DIFFERENTIATION_NTAR_ID,0))</f>
        <v/>
      </c>
      <c r="H61" s="2032"/>
      <c r="I61" s="1909"/>
      <c r="J61" s="1943"/>
      <c r="K61" s="2035"/>
      <c r="L61" s="2032" t="s">
        <v>309</v>
      </c>
      <c r="M61" s="2340"/>
      <c r="N61" s="504"/>
      <c r="O61" s="1794"/>
      <c r="P61" s="1794"/>
      <c r="AH61" s="1801">
        <v>0</v>
      </c>
    </row>
    <row s="9589" customFormat="1" customHeight="1" ht="18.75" hidden="1">
      <c r="A62" s="1950"/>
      <c r="B62" s="1950"/>
      <c r="C62" s="539" t="s">
        <v>1155</v>
      </c>
      <c r="D62" s="2632"/>
      <c r="E62" s="2374"/>
      <c r="F62" s="2553"/>
      <c r="G62" s="2597"/>
      <c r="H62" s="1670"/>
      <c r="I62" s="821" t="s">
        <v>1156</v>
      </c>
      <c r="J62" s="741"/>
      <c r="K62" s="1670"/>
      <c r="L62" s="384"/>
      <c r="M62" s="2340"/>
      <c r="N62" s="504"/>
      <c r="O62" s="1794"/>
      <c r="P62" s="1794"/>
      <c r="AH62" s="1801">
        <v>0</v>
      </c>
    </row>
    <row s="9589" customFormat="1" customHeight="1" ht="0.75" hidden="1">
      <c r="A63" s="1950"/>
      <c r="B63" s="1950"/>
      <c r="C63" s="539" t="s">
        <v>1161</v>
      </c>
      <c r="D63" s="2632"/>
      <c r="E63" s="2374"/>
      <c r="F63" s="2553"/>
      <c r="G63" s="570"/>
      <c r="H63" s="1670"/>
      <c r="I63" s="821"/>
      <c r="J63" s="741"/>
      <c r="K63" s="1670"/>
      <c r="L63" s="384"/>
      <c r="M63" s="2340"/>
      <c r="N63" s="504"/>
      <c r="O63" s="1794"/>
      <c r="P63" s="1794"/>
      <c r="AH63" s="1801">
        <v>0</v>
      </c>
    </row>
    <row s="9589" customFormat="1" customHeight="1" ht="18.75">
      <c r="A64" s="1950" t="s">
        <v>248</v>
      </c>
      <c r="B64" s="1950" t="s">
        <v>249</v>
      </c>
      <c r="C64" s="539"/>
      <c r="D64" s="2632"/>
      <c r="E64" s="2374"/>
      <c r="F64" s="2553" t="str">
        <f>INDEX(PT_DIFFERENTIATION_VTAR,MATCH(A64,PT_DIFFERENTIATION_VTAR_ID,0))</f>
        <v>Тариф на подключение (технологическое присоединение) к централизованной системе холодного водоснабжения</v>
      </c>
      <c r="G64" s="2597" t="str">
        <f>INDEX(PT_DIFFERENTIATION_NTAR,MATCH(B64,PT_DIFFERENTIATION_NTAR_ID,0))</f>
        <v>Тариф на подключение (технологическое присоединение) к централизованной системе холодного водоснабжения</v>
      </c>
      <c r="H64" s="2032"/>
      <c r="I64" s="1909">
        <v>45658</v>
      </c>
      <c r="J64" s="8773">
        <v>46022</v>
      </c>
      <c r="K64" s="2035" t="s">
        <v>1162</v>
      </c>
      <c r="L64" s="2032" t="s">
        <v>309</v>
      </c>
      <c r="M64" s="2340"/>
      <c r="N64" s="504"/>
      <c r="O64" s="1794"/>
      <c r="P64" s="1794"/>
      <c r="AH64" s="1801">
        <v>0</v>
      </c>
    </row>
    <row s="9589" customFormat="1" customHeight="1" ht="18.75">
      <c r="A65" s="1950"/>
      <c r="B65" s="1950"/>
      <c r="C65" s="539" t="s">
        <v>1155</v>
      </c>
      <c r="D65" s="2632"/>
      <c r="E65" s="2374"/>
      <c r="F65" s="2553"/>
      <c r="G65" s="2597"/>
      <c r="H65" s="1670"/>
      <c r="I65" s="821" t="s">
        <v>1156</v>
      </c>
      <c r="J65" s="741"/>
      <c r="K65" s="1670"/>
      <c r="L65" s="384"/>
      <c r="M65" s="2340"/>
      <c r="N65" s="504"/>
      <c r="O65" s="1794"/>
      <c r="P65" s="1794"/>
      <c r="AH65" s="1801">
        <v>0</v>
      </c>
    </row>
    <row s="9589" customFormat="1" customHeight="1" ht="0.75">
      <c r="A66" s="1950"/>
      <c r="B66" s="1950"/>
      <c r="C66" s="539" t="s">
        <v>1161</v>
      </c>
      <c r="D66" s="2632"/>
      <c r="E66" s="2374"/>
      <c r="F66" s="2553"/>
      <c r="G66" s="570"/>
      <c r="H66" s="1670"/>
      <c r="I66" s="821"/>
      <c r="J66" s="741"/>
      <c r="K66" s="1670"/>
      <c r="L66" s="384"/>
      <c r="M66" s="2340"/>
      <c r="N66" s="504"/>
      <c r="O66" s="1794"/>
      <c r="P66" s="1794"/>
      <c r="AH66" s="1801">
        <v>0</v>
      </c>
    </row>
    <row s="9589" customFormat="1" customHeight="1" ht="18.75" hidden="1">
      <c r="A67" s="1950" t="s">
        <v>253</v>
      </c>
      <c r="B67" s="1950" t="s">
        <v>254</v>
      </c>
      <c r="C67" s="539"/>
      <c r="D67" s="2632"/>
      <c r="E67" s="2374"/>
      <c r="F67" s="2553" t="str">
        <f>INDEX(PT_DIFFERENTIATION_VTAR,MATCH(A67,PT_DIFFERENTIATION_VTAR_ID,0))</f>
        <v>Тариф на горячую воду (горячее водоснабжение)</v>
      </c>
      <c r="G67" s="2597" t="str">
        <f>INDEX(PT_DIFFERENTIATION_NTAR,MATCH(B67,PT_DIFFERENTIATION_NTAR_ID,0))</f>
        <v/>
      </c>
      <c r="H67" s="2032"/>
      <c r="I67" s="1909"/>
      <c r="J67" s="1943"/>
      <c r="K67" s="2035"/>
      <c r="L67" s="2032" t="s">
        <v>309</v>
      </c>
      <c r="M67" s="2340"/>
      <c r="N67" s="504"/>
      <c r="O67" s="1794"/>
      <c r="P67" s="1794"/>
      <c r="AH67" s="1801">
        <v>0</v>
      </c>
    </row>
    <row s="9589" customFormat="1" customHeight="1" ht="18.75" hidden="1">
      <c r="A68" s="1950"/>
      <c r="B68" s="1950"/>
      <c r="C68" s="539" t="s">
        <v>1155</v>
      </c>
      <c r="D68" s="2632"/>
      <c r="E68" s="2374"/>
      <c r="F68" s="2553"/>
      <c r="G68" s="2597"/>
      <c r="H68" s="1670"/>
      <c r="I68" s="821" t="s">
        <v>1156</v>
      </c>
      <c r="J68" s="741"/>
      <c r="K68" s="1670"/>
      <c r="L68" s="384"/>
      <c r="M68" s="2340"/>
      <c r="N68" s="504"/>
      <c r="O68" s="1794"/>
      <c r="P68" s="1794"/>
      <c r="AH68" s="1801">
        <v>0</v>
      </c>
    </row>
    <row s="9589" customFormat="1" customHeight="1" ht="0.75" hidden="1">
      <c r="A69" s="1950"/>
      <c r="B69" s="1950"/>
      <c r="C69" s="539" t="s">
        <v>1161</v>
      </c>
      <c r="D69" s="2632"/>
      <c r="E69" s="2374"/>
      <c r="F69" s="2553"/>
      <c r="G69" s="570"/>
      <c r="H69" s="1670"/>
      <c r="I69" s="821"/>
      <c r="J69" s="741"/>
      <c r="K69" s="1670"/>
      <c r="L69" s="384"/>
      <c r="M69" s="2340"/>
      <c r="N69" s="504"/>
      <c r="O69" s="1794"/>
      <c r="P69" s="1794"/>
      <c r="AH69" s="1801">
        <v>0</v>
      </c>
    </row>
    <row s="9589" customFormat="1" customHeight="1" ht="18.75" hidden="1">
      <c r="A70" s="1950" t="s">
        <v>258</v>
      </c>
      <c r="B70" s="1950" t="s">
        <v>259</v>
      </c>
      <c r="C70" s="539"/>
      <c r="D70" s="2632"/>
      <c r="E70" s="2374"/>
      <c r="F70" s="2553" t="str">
        <f>INDEX(PT_DIFFERENTIATION_VTAR,MATCH(A70,PT_DIFFERENTIATION_VTAR_ID,0))</f>
        <v>Тариф на транспортировку горячей воды</v>
      </c>
      <c r="G70" s="2597" t="str">
        <f>INDEX(PT_DIFFERENTIATION_NTAR,MATCH(B70,PT_DIFFERENTIATION_NTAR_ID,0))</f>
        <v/>
      </c>
      <c r="H70" s="2032"/>
      <c r="I70" s="1909"/>
      <c r="J70" s="1943"/>
      <c r="K70" s="2035"/>
      <c r="L70" s="2032" t="s">
        <v>309</v>
      </c>
      <c r="M70" s="2340"/>
      <c r="N70" s="504"/>
      <c r="O70" s="1794"/>
      <c r="P70" s="1794"/>
      <c r="AH70" s="1801">
        <v>0</v>
      </c>
    </row>
    <row s="9589" customFormat="1" customHeight="1" ht="18.75" hidden="1">
      <c r="A71" s="1950"/>
      <c r="B71" s="1950"/>
      <c r="C71" s="539" t="s">
        <v>1155</v>
      </c>
      <c r="D71" s="2632"/>
      <c r="E71" s="2374"/>
      <c r="F71" s="2553"/>
      <c r="G71" s="2597"/>
      <c r="H71" s="1670"/>
      <c r="I71" s="821" t="s">
        <v>1156</v>
      </c>
      <c r="J71" s="741"/>
      <c r="K71" s="1670"/>
      <c r="L71" s="384"/>
      <c r="M71" s="2340"/>
      <c r="N71" s="504"/>
      <c r="O71" s="1794"/>
      <c r="P71" s="1794"/>
      <c r="AH71" s="1801">
        <v>0</v>
      </c>
    </row>
    <row s="9589" customFormat="1" customHeight="1" ht="0.75" hidden="1">
      <c r="A72" s="1950"/>
      <c r="B72" s="1950"/>
      <c r="C72" s="539" t="s">
        <v>1161</v>
      </c>
      <c r="D72" s="2632"/>
      <c r="E72" s="2374"/>
      <c r="F72" s="2553"/>
      <c r="G72" s="570"/>
      <c r="H72" s="1670"/>
      <c r="I72" s="821"/>
      <c r="J72" s="741"/>
      <c r="K72" s="1670"/>
      <c r="L72" s="384"/>
      <c r="M72" s="2340"/>
      <c r="N72" s="504"/>
      <c r="O72" s="1794"/>
      <c r="P72" s="1794"/>
      <c r="AH72" s="1801">
        <v>0</v>
      </c>
    </row>
    <row s="9589" customFormat="1" customHeight="1" ht="18.75" hidden="1">
      <c r="A73" s="1950" t="s">
        <v>263</v>
      </c>
      <c r="B73" s="1950" t="s">
        <v>264</v>
      </c>
      <c r="C73" s="539"/>
      <c r="D73" s="2632"/>
      <c r="E73" s="2374"/>
      <c r="F73" s="2553" t="str">
        <f>INDEX(PT_DIFFERENTIATION_VTAR,MATCH(A73,PT_DIFFERENTIATION_VTAR_ID,0))</f>
        <v>Тариф на подключение (технологическое присоединение) к централизованной системе горячего водоснабжения</v>
      </c>
      <c r="G73" s="2597" t="str">
        <f>INDEX(PT_DIFFERENTIATION_NTAR,MATCH(B73,PT_DIFFERENTIATION_NTAR_ID,0))</f>
        <v/>
      </c>
      <c r="H73" s="2032"/>
      <c r="I73" s="1909"/>
      <c r="J73" s="1943"/>
      <c r="K73" s="2035"/>
      <c r="L73" s="2032" t="s">
        <v>309</v>
      </c>
      <c r="M73" s="2340"/>
      <c r="N73" s="504"/>
      <c r="O73" s="1794"/>
      <c r="P73" s="1794"/>
      <c r="AH73" s="1801">
        <v>0</v>
      </c>
    </row>
    <row s="9589" customFormat="1" customHeight="1" ht="18.75" hidden="1">
      <c r="A74" s="1950"/>
      <c r="B74" s="1950"/>
      <c r="C74" s="539" t="s">
        <v>1155</v>
      </c>
      <c r="D74" s="2632"/>
      <c r="E74" s="2374"/>
      <c r="F74" s="2553"/>
      <c r="G74" s="2597"/>
      <c r="H74" s="1670"/>
      <c r="I74" s="821" t="s">
        <v>1156</v>
      </c>
      <c r="J74" s="741"/>
      <c r="K74" s="1670"/>
      <c r="L74" s="384"/>
      <c r="M74" s="2340"/>
      <c r="N74" s="504"/>
      <c r="O74" s="1794"/>
      <c r="P74" s="1794"/>
      <c r="AH74" s="1801">
        <v>0</v>
      </c>
    </row>
    <row s="9589" customFormat="1" customHeight="1" ht="0.75" hidden="1">
      <c r="A75" s="1950"/>
      <c r="B75" s="1950"/>
      <c r="C75" s="539" t="s">
        <v>1161</v>
      </c>
      <c r="D75" s="2632"/>
      <c r="E75" s="2374"/>
      <c r="F75" s="2553"/>
      <c r="G75" s="570"/>
      <c r="H75" s="1670"/>
      <c r="I75" s="821"/>
      <c r="J75" s="741"/>
      <c r="K75" s="1670"/>
      <c r="L75" s="384"/>
      <c r="M75" s="2340"/>
      <c r="N75" s="504"/>
      <c r="O75" s="1794"/>
      <c r="P75" s="1794"/>
      <c r="AH75" s="1801">
        <v>0</v>
      </c>
    </row>
    <row s="9589" customFormat="1" customHeight="1" ht="18.75" hidden="1">
      <c r="A76" s="1950" t="s">
        <v>268</v>
      </c>
      <c r="B76" s="1950" t="s">
        <v>269</v>
      </c>
      <c r="C76" s="539"/>
      <c r="D76" s="2632"/>
      <c r="E76" s="2374"/>
      <c r="F76" s="2553" t="str">
        <f>INDEX(PT_DIFFERENTIATION_VTAR,MATCH(A76,PT_DIFFERENTIATION_VTAR_ID,0))</f>
        <v>Тариф на водоотведение</v>
      </c>
      <c r="G76" s="2597" t="str">
        <f>INDEX(PT_DIFFERENTIATION_NTAR,MATCH(B76,PT_DIFFERENTIATION_NTAR_ID,0))</f>
        <v/>
      </c>
      <c r="H76" s="2032"/>
      <c r="I76" s="1909"/>
      <c r="J76" s="1943"/>
      <c r="K76" s="2035"/>
      <c r="L76" s="2032" t="s">
        <v>309</v>
      </c>
      <c r="M76" s="2340"/>
      <c r="N76" s="504"/>
      <c r="O76" s="1794"/>
      <c r="P76" s="1794"/>
      <c r="AH76" s="1801">
        <v>0</v>
      </c>
    </row>
    <row s="9589" customFormat="1" customHeight="1" ht="18.75" hidden="1">
      <c r="A77" s="1950"/>
      <c r="B77" s="1950"/>
      <c r="C77" s="539" t="s">
        <v>1155</v>
      </c>
      <c r="D77" s="2632"/>
      <c r="E77" s="2374"/>
      <c r="F77" s="2553"/>
      <c r="G77" s="2597"/>
      <c r="H77" s="1670"/>
      <c r="I77" s="821" t="s">
        <v>1156</v>
      </c>
      <c r="J77" s="741"/>
      <c r="K77" s="1670"/>
      <c r="L77" s="384"/>
      <c r="M77" s="2340"/>
      <c r="N77" s="504"/>
      <c r="O77" s="1794"/>
      <c r="P77" s="1794"/>
      <c r="AH77" s="1801">
        <v>0</v>
      </c>
    </row>
    <row s="9589" customFormat="1" customHeight="1" ht="0.75" hidden="1">
      <c r="A78" s="1950"/>
      <c r="B78" s="1950"/>
      <c r="C78" s="539" t="s">
        <v>1161</v>
      </c>
      <c r="D78" s="2632"/>
      <c r="E78" s="2374"/>
      <c r="F78" s="2553"/>
      <c r="G78" s="570"/>
      <c r="H78" s="1670"/>
      <c r="I78" s="821"/>
      <c r="J78" s="741"/>
      <c r="K78" s="1670"/>
      <c r="L78" s="384"/>
      <c r="M78" s="2340"/>
      <c r="N78" s="504"/>
      <c r="O78" s="1794"/>
      <c r="P78" s="1794"/>
      <c r="AH78" s="1801">
        <v>0</v>
      </c>
    </row>
    <row s="9589" customFormat="1" customHeight="1" ht="18.75" hidden="1">
      <c r="A79" s="1950" t="s">
        <v>273</v>
      </c>
      <c r="B79" s="1950" t="s">
        <v>274</v>
      </c>
      <c r="C79" s="539"/>
      <c r="D79" s="2632"/>
      <c r="E79" s="2374"/>
      <c r="F79" s="2553" t="str">
        <f>INDEX(PT_DIFFERENTIATION_VTAR,MATCH(A79,PT_DIFFERENTIATION_VTAR_ID,0))</f>
        <v>Тариф на транспортировку сточных вод</v>
      </c>
      <c r="G79" s="2597" t="str">
        <f>INDEX(PT_DIFFERENTIATION_NTAR,MATCH(B79,PT_DIFFERENTIATION_NTAR_ID,0))</f>
        <v/>
      </c>
      <c r="H79" s="2032"/>
      <c r="I79" s="1909"/>
      <c r="J79" s="1943"/>
      <c r="K79" s="2035"/>
      <c r="L79" s="2032" t="s">
        <v>309</v>
      </c>
      <c r="M79" s="2340"/>
      <c r="N79" s="504"/>
      <c r="O79" s="1794"/>
      <c r="P79" s="1794"/>
      <c r="AH79" s="1801">
        <v>0</v>
      </c>
    </row>
    <row s="9589" customFormat="1" customHeight="1" ht="18.75" hidden="1">
      <c r="A80" s="1950"/>
      <c r="B80" s="1950"/>
      <c r="C80" s="539" t="s">
        <v>1155</v>
      </c>
      <c r="D80" s="2632"/>
      <c r="E80" s="2374"/>
      <c r="F80" s="2553"/>
      <c r="G80" s="2597"/>
      <c r="H80" s="1670"/>
      <c r="I80" s="821" t="s">
        <v>1156</v>
      </c>
      <c r="J80" s="741"/>
      <c r="K80" s="1670"/>
      <c r="L80" s="384"/>
      <c r="M80" s="2340"/>
      <c r="N80" s="504"/>
      <c r="O80" s="1794"/>
      <c r="P80" s="1794"/>
      <c r="AH80" s="1801">
        <v>0</v>
      </c>
    </row>
    <row s="9589" customFormat="1" customHeight="1" ht="0.75" hidden="1">
      <c r="A81" s="1950"/>
      <c r="B81" s="1950"/>
      <c r="C81" s="539" t="s">
        <v>1161</v>
      </c>
      <c r="D81" s="2632"/>
      <c r="E81" s="2374"/>
      <c r="F81" s="2553"/>
      <c r="G81" s="570"/>
      <c r="H81" s="1670"/>
      <c r="I81" s="821"/>
      <c r="J81" s="741"/>
      <c r="K81" s="1670"/>
      <c r="L81" s="384"/>
      <c r="M81" s="2340"/>
      <c r="N81" s="504"/>
      <c r="O81" s="1794"/>
      <c r="P81" s="1794"/>
      <c r="AH81" s="1801">
        <v>0</v>
      </c>
    </row>
    <row s="9589" customFormat="1" customHeight="1" ht="18.75" hidden="1">
      <c r="A82" s="1950" t="s">
        <v>278</v>
      </c>
      <c r="B82" s="1950" t="s">
        <v>279</v>
      </c>
      <c r="C82" s="539"/>
      <c r="D82" s="2632"/>
      <c r="E82" s="2374"/>
      <c r="F82" s="2553" t="str">
        <f>INDEX(PT_DIFFERENTIATION_VTAR,MATCH(A82,PT_DIFFERENTIATION_VTAR_ID,0))</f>
        <v>Тариф на подключение (технологическое присоединение) к централизованной системе водоотведения</v>
      </c>
      <c r="G82" s="2597" t="str">
        <f>INDEX(PT_DIFFERENTIATION_NTAR,MATCH(B82,PT_DIFFERENTIATION_NTAR_ID,0))</f>
        <v/>
      </c>
      <c r="H82" s="2032"/>
      <c r="I82" s="1909"/>
      <c r="J82" s="1943"/>
      <c r="K82" s="2035"/>
      <c r="L82" s="2032" t="s">
        <v>309</v>
      </c>
      <c r="M82" s="2340"/>
      <c r="N82" s="504"/>
      <c r="O82" s="1794"/>
      <c r="P82" s="1794"/>
      <c r="AH82" s="1801">
        <v>0</v>
      </c>
    </row>
    <row s="9589" customFormat="1" customHeight="1" ht="18.75" hidden="1">
      <c r="A83" s="1950"/>
      <c r="B83" s="1950"/>
      <c r="C83" s="539" t="s">
        <v>1155</v>
      </c>
      <c r="D83" s="2632"/>
      <c r="E83" s="2374"/>
      <c r="F83" s="2553"/>
      <c r="G83" s="2597"/>
      <c r="H83" s="1670"/>
      <c r="I83" s="821" t="s">
        <v>1156</v>
      </c>
      <c r="J83" s="741"/>
      <c r="K83" s="1670"/>
      <c r="L83" s="384"/>
      <c r="M83" s="2340"/>
      <c r="N83" s="504"/>
      <c r="O83" s="1794"/>
      <c r="P83" s="1794"/>
      <c r="AH83" s="1801">
        <v>0</v>
      </c>
    </row>
    <row s="9589" customFormat="1" customHeight="1" ht="1.05">
      <c r="A84" s="1950"/>
      <c r="B84" s="1950"/>
      <c r="C84" s="539" t="s">
        <v>1161</v>
      </c>
      <c r="D84" s="2632"/>
      <c r="E84" s="2374"/>
      <c r="F84" s="2553"/>
      <c r="G84" s="570"/>
      <c r="H84" s="1670"/>
      <c r="I84" s="821"/>
      <c r="J84" s="741"/>
      <c r="K84" s="1670"/>
      <c r="L84" s="384"/>
      <c r="M84" s="2340"/>
      <c r="N84" s="504"/>
      <c r="O84" s="1794"/>
      <c r="P84" s="1794"/>
      <c r="AH84" s="1801">
        <v>1</v>
      </c>
    </row>
    <row customHeight="1" ht="19.95">
      <c r="A85" s="1950"/>
      <c r="B85" s="1950"/>
      <c r="D85" s="546"/>
      <c r="E85" s="317" t="s">
        <v>109</v>
      </c>
      <c r="F85"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630"/>
      <c r="H85" s="2630"/>
      <c r="I85" s="2630"/>
      <c r="J85" s="2630"/>
      <c r="K85" s="2630"/>
      <c r="L85" s="2630"/>
      <c r="M85" s="467"/>
      <c r="N85" s="504"/>
      <c r="AH85" s="544">
        <v>19</v>
      </c>
    </row>
    <row customHeight="1" ht="36">
      <c r="A86" s="1950"/>
      <c r="B86" s="1950"/>
      <c r="D86" s="546"/>
      <c r="E86" s="569"/>
      <c r="F86" s="368" t="s">
        <v>309</v>
      </c>
      <c r="G86" s="368" t="s">
        <v>309</v>
      </c>
      <c r="H86" s="2388" t="s">
        <v>309</v>
      </c>
      <c r="I86" s="2390"/>
      <c r="J86" s="368" t="s">
        <v>309</v>
      </c>
      <c r="K86" s="368" t="s">
        <v>309</v>
      </c>
      <c r="L86" s="4837" t="s">
        <v>1163</v>
      </c>
      <c r="M86" s="515" t="s">
        <v>1164</v>
      </c>
      <c r="N86" s="504"/>
      <c r="AH86" s="544">
        <v>34</v>
      </c>
    </row>
    <row customHeight="1" ht="19.95">
      <c r="A87" s="1950"/>
      <c r="B87" s="1950"/>
      <c r="D87" s="546"/>
      <c r="E87" s="317" t="s">
        <v>89</v>
      </c>
      <c r="F87" s="2630" t="s">
        <v>1165</v>
      </c>
      <c r="G87" s="2630"/>
      <c r="H87" s="2630"/>
      <c r="I87" s="2630"/>
      <c r="J87" s="2630"/>
      <c r="K87" s="2630"/>
      <c r="L87" s="2630"/>
      <c r="M87" s="467"/>
      <c r="N87" s="504"/>
      <c r="AH87" s="544">
        <v>19</v>
      </c>
    </row>
    <row s="9589" customFormat="1" customHeight="1" ht="60.75" hidden="1">
      <c r="A88" s="1950" t="s">
        <v>154</v>
      </c>
      <c r="B88" s="1950" t="s">
        <v>155</v>
      </c>
      <c r="C88" s="539"/>
      <c r="D88" s="2632"/>
      <c r="E88" s="2374"/>
      <c r="F88" s="255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597" t="str">
        <f>INDEX(PT_DIFFERENTIATION_NTAR,MATCH(B88,PT_DIFFERENTIATION_NTAR_ID,0))</f>
        <v/>
      </c>
      <c r="H88" s="2032"/>
      <c r="I88" s="1909"/>
      <c r="J88" s="1943"/>
      <c r="K88" s="1948"/>
      <c r="L88" s="2032" t="s">
        <v>309</v>
      </c>
      <c r="M8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504"/>
      <c r="O88" s="1794"/>
      <c r="P88" s="1794"/>
      <c r="AH88" s="1801">
        <v>0</v>
      </c>
    </row>
    <row s="9589" customFormat="1" customHeight="1" ht="18.75" hidden="1">
      <c r="A89" s="1950"/>
      <c r="B89" s="1950"/>
      <c r="C89" s="539" t="s">
        <v>1157</v>
      </c>
      <c r="D89" s="2632"/>
      <c r="E89" s="2374"/>
      <c r="F89" s="2553"/>
      <c r="G89" s="2597"/>
      <c r="H89" s="1670"/>
      <c r="I89" s="821" t="s">
        <v>1156</v>
      </c>
      <c r="J89" s="741"/>
      <c r="K89" s="1670"/>
      <c r="L89" s="384"/>
      <c r="M89" s="2340"/>
      <c r="N89" s="504"/>
      <c r="O89" s="1794"/>
      <c r="P89" s="1794"/>
      <c r="AH89" s="1801">
        <v>0</v>
      </c>
    </row>
    <row s="9589" customFormat="1" customHeight="1" ht="0.75" hidden="1">
      <c r="A90" s="1950"/>
      <c r="B90" s="1950"/>
      <c r="C90" s="539" t="s">
        <v>1166</v>
      </c>
      <c r="D90" s="2632"/>
      <c r="E90" s="2374"/>
      <c r="F90" s="2553"/>
      <c r="G90" s="570"/>
      <c r="H90" s="1670"/>
      <c r="I90" s="821"/>
      <c r="J90" s="741"/>
      <c r="K90" s="1670"/>
      <c r="L90" s="384"/>
      <c r="M90" s="2340"/>
      <c r="N90" s="504"/>
      <c r="O90" s="1794"/>
      <c r="P90" s="1794"/>
      <c r="AH90" s="1801">
        <v>0</v>
      </c>
    </row>
    <row s="9589" customFormat="1" customHeight="1" ht="45" hidden="1">
      <c r="A91" s="1950" t="s">
        <v>159</v>
      </c>
      <c r="B91" s="1950" t="s">
        <v>160</v>
      </c>
      <c r="C91" s="539"/>
      <c r="D91" s="2632"/>
      <c r="E91" s="2374"/>
      <c r="F91" s="2553" t="str">
        <f>INDEX(PT_DIFFERENTIATION_VTAR,MATCH(A91,PT_DIFFERENTIATION_VTAR_ID,0))</f>
        <v/>
      </c>
      <c r="G91" s="2597" t="str">
        <f>INDEX(PT_DIFFERENTIATION_NTAR,MATCH(B91,PT_DIFFERENTIATION_NTAR_ID,0))</f>
        <v/>
      </c>
      <c r="H91" s="2032"/>
      <c r="I91" s="1909"/>
      <c r="J91" s="1943"/>
      <c r="K91" s="1948"/>
      <c r="L91" s="2032" t="s">
        <v>309</v>
      </c>
      <c r="M91" s="2341"/>
      <c r="N91" s="504"/>
      <c r="O91" s="1794"/>
      <c r="P91" s="1794"/>
      <c r="AH91" s="1801">
        <v>0</v>
      </c>
    </row>
    <row s="9589" customFormat="1" customHeight="1" ht="18.75" hidden="1">
      <c r="A92" s="1950"/>
      <c r="B92" s="1950"/>
      <c r="C92" s="539" t="s">
        <v>1157</v>
      </c>
      <c r="D92" s="2632"/>
      <c r="E92" s="2374"/>
      <c r="F92" s="2553"/>
      <c r="G92" s="2597"/>
      <c r="H92" s="1670"/>
      <c r="I92" s="821" t="s">
        <v>1156</v>
      </c>
      <c r="J92" s="741"/>
      <c r="K92" s="1670"/>
      <c r="L92" s="384"/>
      <c r="M92" s="2031"/>
      <c r="N92" s="504"/>
      <c r="O92" s="1794"/>
      <c r="P92" s="1794"/>
      <c r="AH92" s="1801">
        <v>0</v>
      </c>
    </row>
    <row s="9589" customFormat="1" customHeight="1" ht="0.75" hidden="1">
      <c r="A93" s="1950"/>
      <c r="B93" s="1950"/>
      <c r="C93" s="539" t="s">
        <v>1166</v>
      </c>
      <c r="D93" s="2632"/>
      <c r="E93" s="2374"/>
      <c r="F93" s="2553"/>
      <c r="G93" s="570"/>
      <c r="H93" s="1670"/>
      <c r="I93" s="821"/>
      <c r="J93" s="741"/>
      <c r="K93" s="1670"/>
      <c r="L93" s="384"/>
      <c r="M93" s="511"/>
      <c r="N93" s="504"/>
      <c r="O93" s="1794"/>
      <c r="P93" s="1794"/>
      <c r="AH93" s="1801">
        <v>0</v>
      </c>
    </row>
    <row s="9589" customFormat="1" customHeight="1" ht="45" hidden="1">
      <c r="A94" s="1950" t="s">
        <v>166</v>
      </c>
      <c r="B94" s="1950" t="s">
        <v>167</v>
      </c>
      <c r="C94" s="539"/>
      <c r="D94" s="2632"/>
      <c r="E94" s="2374"/>
      <c r="F94" s="255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597" t="str">
        <f>INDEX(PT_DIFFERENTIATION_NTAR,MATCH(B94,PT_DIFFERENTIATION_NTAR_ID,0))</f>
        <v/>
      </c>
      <c r="H94" s="2032"/>
      <c r="I94" s="1909"/>
      <c r="J94" s="1943"/>
      <c r="K94" s="1948"/>
      <c r="L94" s="2032" t="s">
        <v>309</v>
      </c>
      <c r="M94" s="511"/>
      <c r="N94" s="504"/>
      <c r="O94" s="1794"/>
      <c r="P94" s="1794"/>
      <c r="AH94" s="1801">
        <v>0</v>
      </c>
    </row>
    <row s="9589" customFormat="1" customHeight="1" ht="18.75" hidden="1">
      <c r="A95" s="1950"/>
      <c r="B95" s="1950"/>
      <c r="C95" s="539" t="s">
        <v>1157</v>
      </c>
      <c r="D95" s="2632"/>
      <c r="E95" s="2374"/>
      <c r="F95" s="2553"/>
      <c r="G95" s="2597"/>
      <c r="H95" s="1670"/>
      <c r="I95" s="821" t="s">
        <v>1156</v>
      </c>
      <c r="J95" s="741"/>
      <c r="K95" s="1670"/>
      <c r="L95" s="384"/>
      <c r="M95" s="511"/>
      <c r="N95" s="504"/>
      <c r="O95" s="1794"/>
      <c r="P95" s="1794"/>
      <c r="AH95" s="1801">
        <v>0</v>
      </c>
    </row>
    <row s="9589" customFormat="1" customHeight="1" ht="0.75" hidden="1">
      <c r="A96" s="1950"/>
      <c r="B96" s="1950"/>
      <c r="C96" s="539" t="s">
        <v>1166</v>
      </c>
      <c r="D96" s="2632"/>
      <c r="E96" s="2374"/>
      <c r="F96" s="2553"/>
      <c r="G96" s="570"/>
      <c r="H96" s="1670"/>
      <c r="I96" s="821"/>
      <c r="J96" s="741"/>
      <c r="K96" s="1670"/>
      <c r="L96" s="384"/>
      <c r="M96" s="511"/>
      <c r="N96" s="504"/>
      <c r="O96" s="1794"/>
      <c r="P96" s="1794"/>
      <c r="AH96" s="1801">
        <v>0</v>
      </c>
    </row>
    <row s="9589" customFormat="1" customHeight="1" ht="45" hidden="1">
      <c r="A97" s="1950" t="s">
        <v>172</v>
      </c>
      <c r="B97" s="1950" t="s">
        <v>173</v>
      </c>
      <c r="C97" s="539"/>
      <c r="D97" s="2632"/>
      <c r="E97" s="2374"/>
      <c r="F97" s="255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597" t="str">
        <f>INDEX(PT_DIFFERENTIATION_NTAR,MATCH(B97,PT_DIFFERENTIATION_NTAR_ID,0))</f>
        <v/>
      </c>
      <c r="H97" s="2032"/>
      <c r="I97" s="1909"/>
      <c r="J97" s="1943"/>
      <c r="K97" s="1948"/>
      <c r="L97" s="2032" t="s">
        <v>309</v>
      </c>
      <c r="M97" s="511"/>
      <c r="N97" s="504"/>
      <c r="O97" s="1794"/>
      <c r="P97" s="1794"/>
      <c r="AH97" s="1801">
        <v>0</v>
      </c>
    </row>
    <row s="9589" customFormat="1" customHeight="1" ht="18.75" hidden="1">
      <c r="A98" s="1950"/>
      <c r="B98" s="1950"/>
      <c r="C98" s="539" t="s">
        <v>1157</v>
      </c>
      <c r="D98" s="2632"/>
      <c r="E98" s="2374"/>
      <c r="F98" s="2553"/>
      <c r="G98" s="2597"/>
      <c r="H98" s="1670"/>
      <c r="I98" s="821" t="s">
        <v>1156</v>
      </c>
      <c r="J98" s="741"/>
      <c r="K98" s="1670"/>
      <c r="L98" s="384"/>
      <c r="M98" s="511"/>
      <c r="N98" s="504"/>
      <c r="O98" s="1794"/>
      <c r="P98" s="1794"/>
      <c r="AH98" s="1801">
        <v>0</v>
      </c>
    </row>
    <row s="9589" customFormat="1" customHeight="1" ht="0.75" hidden="1">
      <c r="A99" s="1950"/>
      <c r="B99" s="1950"/>
      <c r="C99" s="539" t="s">
        <v>1166</v>
      </c>
      <c r="D99" s="2632"/>
      <c r="E99" s="2374"/>
      <c r="F99" s="2553"/>
      <c r="G99" s="570"/>
      <c r="H99" s="1670"/>
      <c r="I99" s="821"/>
      <c r="J99" s="741"/>
      <c r="K99" s="1670"/>
      <c r="L99" s="384"/>
      <c r="M99" s="511"/>
      <c r="N99" s="504"/>
      <c r="O99" s="1794"/>
      <c r="P99" s="1794"/>
      <c r="AH99" s="1801">
        <v>0</v>
      </c>
    </row>
    <row s="9589" customFormat="1" customHeight="1" ht="18.75" hidden="1">
      <c r="A100" s="1950" t="s">
        <v>178</v>
      </c>
      <c r="B100" s="1950" t="s">
        <v>179</v>
      </c>
      <c r="C100" s="539"/>
      <c r="D100" s="2632"/>
      <c r="E100" s="2374"/>
      <c r="F100" s="2553" t="str">
        <f>INDEX(PT_DIFFERENTIATION_VTAR,MATCH(A100,PT_DIFFERENTIATION_VTAR_ID,0))</f>
        <v>Тарифы на услуги по передаче тепловой энергии</v>
      </c>
      <c r="G100" s="2597" t="str">
        <f>INDEX(PT_DIFFERENTIATION_NTAR,MATCH(B100,PT_DIFFERENTIATION_NTAR_ID,0))</f>
        <v/>
      </c>
      <c r="H100" s="2032"/>
      <c r="I100" s="1909"/>
      <c r="J100" s="1943"/>
      <c r="K100" s="1948"/>
      <c r="L100" s="2032" t="s">
        <v>309</v>
      </c>
      <c r="M100" s="511"/>
      <c r="N100" s="504"/>
      <c r="O100" s="1794"/>
      <c r="P100" s="1794"/>
      <c r="AH100" s="1801">
        <v>0</v>
      </c>
    </row>
    <row s="9589" customFormat="1" customHeight="1" ht="18.75" hidden="1">
      <c r="A101" s="1950"/>
      <c r="B101" s="1950"/>
      <c r="C101" s="539" t="s">
        <v>1157</v>
      </c>
      <c r="D101" s="2632"/>
      <c r="E101" s="2374"/>
      <c r="F101" s="2553"/>
      <c r="G101" s="2597"/>
      <c r="H101" s="1670"/>
      <c r="I101" s="821" t="s">
        <v>1156</v>
      </c>
      <c r="J101" s="741"/>
      <c r="K101" s="1670"/>
      <c r="L101" s="384"/>
      <c r="M101" s="511"/>
      <c r="N101" s="504"/>
      <c r="O101" s="1794"/>
      <c r="P101" s="1794"/>
      <c r="AH101" s="1801">
        <v>0</v>
      </c>
    </row>
    <row s="9589" customFormat="1" customHeight="1" ht="0.75" hidden="1">
      <c r="A102" s="1950"/>
      <c r="B102" s="1950"/>
      <c r="C102" s="539" t="s">
        <v>1166</v>
      </c>
      <c r="D102" s="2632"/>
      <c r="E102" s="2374"/>
      <c r="F102" s="2553"/>
      <c r="G102" s="570"/>
      <c r="H102" s="1670"/>
      <c r="I102" s="821"/>
      <c r="J102" s="741"/>
      <c r="K102" s="1670"/>
      <c r="L102" s="384"/>
      <c r="M102" s="511"/>
      <c r="N102" s="504"/>
      <c r="O102" s="1794"/>
      <c r="P102" s="1794"/>
      <c r="AH102" s="1801">
        <v>0</v>
      </c>
    </row>
    <row s="9589" customFormat="1" customHeight="1" ht="18.75" hidden="1">
      <c r="A103" s="1950" t="s">
        <v>184</v>
      </c>
      <c r="B103" s="1950" t="s">
        <v>185</v>
      </c>
      <c r="C103" s="539"/>
      <c r="D103" s="2632"/>
      <c r="E103" s="2374"/>
      <c r="F103" s="2553" t="str">
        <f>INDEX(PT_DIFFERENTIATION_VTAR,MATCH(A103,PT_DIFFERENTIATION_VTAR_ID,0))</f>
        <v>Тарифы на услуги по передаче теплоносителя</v>
      </c>
      <c r="G103" s="2597" t="str">
        <f>INDEX(PT_DIFFERENTIATION_NTAR,MATCH(B103,PT_DIFFERENTIATION_NTAR_ID,0))</f>
        <v/>
      </c>
      <c r="H103" s="2032"/>
      <c r="I103" s="1909"/>
      <c r="J103" s="1943"/>
      <c r="K103" s="1948"/>
      <c r="L103" s="2032" t="s">
        <v>309</v>
      </c>
      <c r="M103" s="511"/>
      <c r="N103" s="504"/>
      <c r="O103" s="1794"/>
      <c r="P103" s="1794"/>
      <c r="AH103" s="1801">
        <v>0</v>
      </c>
    </row>
    <row s="9589" customFormat="1" customHeight="1" ht="18.75" hidden="1">
      <c r="A104" s="1950"/>
      <c r="B104" s="1950"/>
      <c r="C104" s="539" t="s">
        <v>1157</v>
      </c>
      <c r="D104" s="2632"/>
      <c r="E104" s="2374"/>
      <c r="F104" s="2553"/>
      <c r="G104" s="2597"/>
      <c r="H104" s="1670"/>
      <c r="I104" s="821" t="s">
        <v>1156</v>
      </c>
      <c r="J104" s="741"/>
      <c r="K104" s="1670"/>
      <c r="L104" s="384"/>
      <c r="M104" s="511"/>
      <c r="N104" s="504"/>
      <c r="O104" s="1794"/>
      <c r="P104" s="1794"/>
      <c r="AH104" s="1801">
        <v>0</v>
      </c>
    </row>
    <row s="9589" customFormat="1" customHeight="1" ht="0.75" hidden="1">
      <c r="A105" s="1950"/>
      <c r="B105" s="1950"/>
      <c r="C105" s="539" t="s">
        <v>1166</v>
      </c>
      <c r="D105" s="2632"/>
      <c r="E105" s="2374"/>
      <c r="F105" s="2553"/>
      <c r="G105" s="570"/>
      <c r="H105" s="1670"/>
      <c r="I105" s="821"/>
      <c r="J105" s="741"/>
      <c r="K105" s="1670"/>
      <c r="L105" s="384"/>
      <c r="M105" s="511"/>
      <c r="N105" s="504"/>
      <c r="O105" s="1794"/>
      <c r="P105" s="1794"/>
      <c r="AH105" s="1801">
        <v>0</v>
      </c>
    </row>
    <row s="9589" customFormat="1" customHeight="1" ht="18.75" hidden="1">
      <c r="A106" s="1950" t="s">
        <v>190</v>
      </c>
      <c r="B106" s="1950" t="s">
        <v>191</v>
      </c>
      <c r="C106" s="539"/>
      <c r="D106" s="2632"/>
      <c r="E106" s="2374"/>
      <c r="F106" s="255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597" t="str">
        <f>INDEX(PT_DIFFERENTIATION_NTAR,MATCH(B106,PT_DIFFERENTIATION_NTAR_ID,0))</f>
        <v/>
      </c>
      <c r="H106" s="2032"/>
      <c r="I106" s="1909"/>
      <c r="J106" s="1943"/>
      <c r="K106" s="1948"/>
      <c r="L106" s="2032" t="s">
        <v>309</v>
      </c>
      <c r="M106" s="511"/>
      <c r="N106" s="504"/>
      <c r="O106" s="1794"/>
      <c r="P106" s="1794"/>
      <c r="AH106" s="1801">
        <v>0</v>
      </c>
    </row>
    <row s="9589" customFormat="1" customHeight="1" ht="18.75" hidden="1">
      <c r="A107" s="1950"/>
      <c r="B107" s="1950"/>
      <c r="C107" s="539" t="s">
        <v>1157</v>
      </c>
      <c r="D107" s="2632"/>
      <c r="E107" s="2374"/>
      <c r="F107" s="2553"/>
      <c r="G107" s="2597"/>
      <c r="H107" s="1670"/>
      <c r="I107" s="821" t="s">
        <v>1156</v>
      </c>
      <c r="J107" s="741"/>
      <c r="K107" s="1670"/>
      <c r="L107" s="384"/>
      <c r="M107" s="511"/>
      <c r="N107" s="504"/>
      <c r="O107" s="1794"/>
      <c r="P107" s="1794"/>
      <c r="AH107" s="1801">
        <v>0</v>
      </c>
    </row>
    <row s="9589" customFormat="1" customHeight="1" ht="0.75" hidden="1">
      <c r="A108" s="1950"/>
      <c r="B108" s="1950"/>
      <c r="C108" s="539" t="s">
        <v>1166</v>
      </c>
      <c r="D108" s="2632"/>
      <c r="E108" s="2374"/>
      <c r="F108" s="2553"/>
      <c r="G108" s="570"/>
      <c r="H108" s="1670"/>
      <c r="I108" s="821"/>
      <c r="J108" s="741"/>
      <c r="K108" s="1670"/>
      <c r="L108" s="384"/>
      <c r="M108" s="511"/>
      <c r="N108" s="504"/>
      <c r="O108" s="1794"/>
      <c r="P108" s="1794"/>
      <c r="AH108" s="1801">
        <v>0</v>
      </c>
    </row>
    <row s="9589" customFormat="1" customHeight="1" ht="18.75" hidden="1">
      <c r="A109" s="1950" t="s">
        <v>196</v>
      </c>
      <c r="B109" s="1950" t="s">
        <v>197</v>
      </c>
      <c r="C109" s="539"/>
      <c r="D109" s="2632"/>
      <c r="E109" s="2374"/>
      <c r="F109" s="2553" t="str">
        <f>INDEX(PT_DIFFERENTIATION_VTAR,MATCH(A109,PT_DIFFERENTIATION_VTAR_ID,0))</f>
        <v>Плата за подключение (технологическое присоединение) к системе теплоснабжения</v>
      </c>
      <c r="G109" s="2597" t="str">
        <f>INDEX(PT_DIFFERENTIATION_NTAR,MATCH(B109,PT_DIFFERENTIATION_NTAR_ID,0))</f>
        <v/>
      </c>
      <c r="H109" s="2032"/>
      <c r="I109" s="1909"/>
      <c r="J109" s="1943"/>
      <c r="K109" s="1948"/>
      <c r="L109" s="2032" t="s">
        <v>309</v>
      </c>
      <c r="M109" s="511"/>
      <c r="N109" s="504"/>
      <c r="O109" s="1794"/>
      <c r="P109" s="1794"/>
      <c r="AH109" s="1801">
        <v>0</v>
      </c>
    </row>
    <row s="9589" customFormat="1" customHeight="1" ht="18.75" hidden="1">
      <c r="A110" s="1950"/>
      <c r="B110" s="1950"/>
      <c r="C110" s="539" t="s">
        <v>1157</v>
      </c>
      <c r="D110" s="2632"/>
      <c r="E110" s="2374"/>
      <c r="F110" s="2553"/>
      <c r="G110" s="2597"/>
      <c r="H110" s="1670"/>
      <c r="I110" s="821" t="s">
        <v>1156</v>
      </c>
      <c r="J110" s="741"/>
      <c r="K110" s="1670"/>
      <c r="L110" s="384"/>
      <c r="M110" s="511"/>
      <c r="N110" s="504"/>
      <c r="O110" s="1794"/>
      <c r="P110" s="1794"/>
      <c r="AH110" s="1801">
        <v>0</v>
      </c>
    </row>
    <row s="9589" customFormat="1" customHeight="1" ht="0.75" hidden="1">
      <c r="A111" s="1950"/>
      <c r="B111" s="1950"/>
      <c r="C111" s="539" t="s">
        <v>1166</v>
      </c>
      <c r="D111" s="2632"/>
      <c r="E111" s="2374"/>
      <c r="F111" s="2553"/>
      <c r="G111" s="570"/>
      <c r="H111" s="1670"/>
      <c r="I111" s="821"/>
      <c r="J111" s="741"/>
      <c r="K111" s="1670"/>
      <c r="L111" s="384"/>
      <c r="M111" s="511"/>
      <c r="N111" s="504"/>
      <c r="O111" s="1794"/>
      <c r="P111" s="1794"/>
      <c r="AH111" s="1801">
        <v>0</v>
      </c>
    </row>
    <row s="9589" customFormat="1" customHeight="1" ht="18.75" hidden="1">
      <c r="A112" s="1950" t="s">
        <v>202</v>
      </c>
      <c r="B112" s="1950" t="s">
        <v>203</v>
      </c>
      <c r="C112" s="539"/>
      <c r="D112" s="2632"/>
      <c r="E112" s="2374"/>
      <c r="F112" s="2553" t="str">
        <f>INDEX(PT_DIFFERENTIATION_VTAR,MATCH(A112,PT_DIFFERENTIATION_VTAR_ID,0))</f>
        <v>Плата за подключение (технологическое присоединение) к системе теплоснабжения (индивидуальная)</v>
      </c>
      <c r="G112" s="2597" t="str">
        <f>INDEX(PT_DIFFERENTIATION_NTAR,MATCH(B112,PT_DIFFERENTIATION_NTAR_ID,0))</f>
        <v/>
      </c>
      <c r="H112" s="2159"/>
      <c r="I112" s="1909"/>
      <c r="J112" s="1943"/>
      <c r="K112" s="1948"/>
      <c r="L112" s="2159" t="s">
        <v>309</v>
      </c>
      <c r="M112" s="511"/>
      <c r="N112" s="504"/>
      <c r="O112" s="1794"/>
      <c r="P112" s="1794"/>
      <c r="AH112" s="1801">
        <v>0</v>
      </c>
    </row>
    <row s="9589" customFormat="1" customHeight="1" ht="18.75" hidden="1">
      <c r="A113" s="1950"/>
      <c r="B113" s="1950"/>
      <c r="C113" s="539" t="s">
        <v>1157</v>
      </c>
      <c r="D113" s="2632"/>
      <c r="E113" s="2374"/>
      <c r="F113" s="2553"/>
      <c r="G113" s="2597"/>
      <c r="H113" s="1670"/>
      <c r="I113" s="821" t="s">
        <v>1156</v>
      </c>
      <c r="J113" s="741"/>
      <c r="K113" s="1670"/>
      <c r="L113" s="384"/>
      <c r="M113" s="511"/>
      <c r="N113" s="504"/>
      <c r="O113" s="1794"/>
      <c r="P113" s="1794"/>
      <c r="AH113" s="1801">
        <v>0</v>
      </c>
    </row>
    <row s="9589" customFormat="1" customHeight="1" ht="0.75" hidden="1">
      <c r="A114" s="1950"/>
      <c r="B114" s="1950"/>
      <c r="C114" s="539" t="s">
        <v>1166</v>
      </c>
      <c r="D114" s="2632"/>
      <c r="E114" s="2374"/>
      <c r="F114" s="2553"/>
      <c r="G114" s="570"/>
      <c r="H114" s="1670"/>
      <c r="I114" s="821"/>
      <c r="J114" s="741"/>
      <c r="K114" s="1670"/>
      <c r="L114" s="384"/>
      <c r="M114" s="511"/>
      <c r="N114" s="504"/>
      <c r="O114" s="1794"/>
      <c r="P114" s="1794"/>
      <c r="AH114" s="1801">
        <v>0</v>
      </c>
    </row>
    <row s="9589" customFormat="1" customHeight="1" ht="18.75">
      <c r="A115" s="1950" t="s">
        <v>224</v>
      </c>
      <c r="B115" s="1950" t="s">
        <v>225</v>
      </c>
      <c r="C115" s="539"/>
      <c r="D115" s="2632"/>
      <c r="E115" s="2374"/>
      <c r="F115" s="2553" t="str">
        <f>INDEX(PT_DIFFERENTIATION_VTAR,MATCH(A115,PT_DIFFERENTIATION_VTAR_ID,0))</f>
        <v>Тариф на питьевую воду (питьевое водоснабжение)</v>
      </c>
      <c r="G115" s="2597" t="str">
        <f>INDEX(PT_DIFFERENTIATION_NTAR,MATCH(B115,PT_DIFFERENTIATION_NTAR_ID,0))</f>
        <v>Холодное водоснабжение. Питьевая вода</v>
      </c>
      <c r="H115" s="2032"/>
      <c r="I115" s="4826">
        <v>45658.41396990741</v>
      </c>
      <c r="J115" s="4827">
        <v>45838.414039351854</v>
      </c>
      <c r="K115" s="1948">
        <v>387856.21</v>
      </c>
      <c r="L115" s="2032" t="s">
        <v>309</v>
      </c>
      <c r="M115" s="511"/>
      <c r="N115" s="504"/>
      <c r="O115" s="1794"/>
      <c r="P115" s="1794"/>
      <c r="AH115" s="1801">
        <v>0</v>
      </c>
    </row>
    <row s="12726" customFormat="1" customHeight="1" ht="56.25">
      <c r="A116" s="4828"/>
      <c r="B116" s="4828"/>
      <c r="C116" s="4829"/>
      <c r="D116" s="4830"/>
      <c r="E116" s="4831"/>
      <c r="F116" s="4831"/>
      <c r="G116" s="4831"/>
      <c r="H116" s="4054" t="s">
        <v>489</v>
      </c>
      <c r="I116" s="4826">
        <v>45839.41425925926</v>
      </c>
      <c r="J116" s="4827">
        <v>46022.41434027778</v>
      </c>
      <c r="K116" s="4839">
        <v>540615.91</v>
      </c>
      <c r="L116" s="4056" t="s">
        <v>309</v>
      </c>
      <c r="M116" s="4833"/>
      <c r="N116" s="4834"/>
      <c r="O116" s="4835"/>
      <c r="P116" s="4835"/>
      <c r="Q116" s="3973"/>
      <c r="R116" s="3973"/>
      <c r="S116" s="3973"/>
      <c r="T116" s="3973"/>
      <c r="U116" s="3973"/>
      <c r="V116" s="3973"/>
      <c r="W116" s="3973"/>
      <c r="X116" s="3973"/>
      <c r="Y116" s="3973"/>
      <c r="Z116" s="3973"/>
      <c r="AA116" s="3973"/>
      <c r="AB116" s="3973"/>
      <c r="AC116" s="3973"/>
      <c r="AD116" s="3973"/>
      <c r="AE116" s="3973"/>
      <c r="AF116" s="3973"/>
      <c r="AG116" s="3973"/>
      <c r="AH116" s="3973">
        <v>0</v>
      </c>
    </row>
    <row s="9589" customFormat="1" customHeight="1" ht="18.75">
      <c r="A117" s="1950"/>
      <c r="B117" s="1950"/>
      <c r="C117" s="539" t="s">
        <v>1157</v>
      </c>
      <c r="D117" s="2632"/>
      <c r="E117" s="2374"/>
      <c r="F117" s="2553"/>
      <c r="G117" s="2597"/>
      <c r="H117" s="1670"/>
      <c r="I117" s="821" t="s">
        <v>1156</v>
      </c>
      <c r="J117" s="741"/>
      <c r="K117" s="1670"/>
      <c r="L117" s="384"/>
      <c r="M117" s="511"/>
      <c r="N117" s="504"/>
      <c r="O117" s="1794"/>
      <c r="P117" s="1794"/>
      <c r="AH117" s="1801">
        <v>0</v>
      </c>
    </row>
    <row s="9589" customFormat="1" customHeight="1" ht="0.75">
      <c r="A118" s="1950"/>
      <c r="B118" s="1950"/>
      <c r="C118" s="539" t="s">
        <v>1166</v>
      </c>
      <c r="D118" s="2632"/>
      <c r="E118" s="2374"/>
      <c r="F118" s="2553"/>
      <c r="G118" s="570"/>
      <c r="H118" s="1670"/>
      <c r="I118" s="821"/>
      <c r="J118" s="741"/>
      <c r="K118" s="1670"/>
      <c r="L118" s="384"/>
      <c r="M118" s="511"/>
      <c r="N118" s="504"/>
      <c r="O118" s="1794"/>
      <c r="P118" s="1794"/>
      <c r="AH118" s="1801">
        <v>0</v>
      </c>
    </row>
    <row s="9589" customFormat="1" customHeight="1" ht="18.75" hidden="1">
      <c r="A119" s="1950" t="s">
        <v>232</v>
      </c>
      <c r="B119" s="1950" t="s">
        <v>233</v>
      </c>
      <c r="C119" s="539"/>
      <c r="D119" s="2632"/>
      <c r="E119" s="2374"/>
      <c r="F119" s="2553" t="str">
        <f>INDEX(PT_DIFFERENTIATION_VTAR,MATCH(A119,PT_DIFFERENTIATION_VTAR_ID,0))</f>
        <v>Тариф на техническую воду</v>
      </c>
      <c r="G119" s="2597" t="str">
        <f>INDEX(PT_DIFFERENTIATION_NTAR,MATCH(B119,PT_DIFFERENTIATION_NTAR_ID,0))</f>
        <v/>
      </c>
      <c r="H119" s="2032"/>
      <c r="I119" s="1909"/>
      <c r="J119" s="1943"/>
      <c r="K119" s="1948"/>
      <c r="L119" s="2032" t="s">
        <v>309</v>
      </c>
      <c r="M119" s="511"/>
      <c r="N119" s="504"/>
      <c r="O119" s="1794"/>
      <c r="P119" s="1794"/>
      <c r="AH119" s="1801">
        <v>0</v>
      </c>
    </row>
    <row s="9589" customFormat="1" customHeight="1" ht="18.75" hidden="1">
      <c r="A120" s="1950"/>
      <c r="B120" s="1950"/>
      <c r="C120" s="539" t="s">
        <v>1157</v>
      </c>
      <c r="D120" s="2632"/>
      <c r="E120" s="2374"/>
      <c r="F120" s="2553"/>
      <c r="G120" s="2597"/>
      <c r="H120" s="1670"/>
      <c r="I120" s="821" t="s">
        <v>1156</v>
      </c>
      <c r="J120" s="741"/>
      <c r="K120" s="1670"/>
      <c r="L120" s="384"/>
      <c r="M120" s="511"/>
      <c r="N120" s="504"/>
      <c r="O120" s="1794"/>
      <c r="P120" s="1794"/>
      <c r="AH120" s="1801">
        <v>0</v>
      </c>
    </row>
    <row s="9589" customFormat="1" customHeight="1" ht="0.75" hidden="1">
      <c r="A121" s="1950"/>
      <c r="B121" s="1950"/>
      <c r="C121" s="539" t="s">
        <v>1166</v>
      </c>
      <c r="D121" s="2632"/>
      <c r="E121" s="2374"/>
      <c r="F121" s="2553"/>
      <c r="G121" s="570"/>
      <c r="H121" s="1670"/>
      <c r="I121" s="821"/>
      <c r="J121" s="741"/>
      <c r="K121" s="1670"/>
      <c r="L121" s="384"/>
      <c r="M121" s="511"/>
      <c r="N121" s="504"/>
      <c r="O121" s="1794"/>
      <c r="P121" s="1794"/>
      <c r="AH121" s="1801">
        <v>0</v>
      </c>
    </row>
    <row s="9589" customFormat="1" customHeight="1" ht="18.75" hidden="1">
      <c r="A122" s="1950" t="s">
        <v>237</v>
      </c>
      <c r="B122" s="1950" t="s">
        <v>238</v>
      </c>
      <c r="C122" s="539"/>
      <c r="D122" s="2632"/>
      <c r="E122" s="2374"/>
      <c r="F122" s="2553" t="str">
        <f>INDEX(PT_DIFFERENTIATION_VTAR,MATCH(A122,PT_DIFFERENTIATION_VTAR_ID,0))</f>
        <v>Тариф на транспортировку воды</v>
      </c>
      <c r="G122" s="2597" t="str">
        <f>INDEX(PT_DIFFERENTIATION_NTAR,MATCH(B122,PT_DIFFERENTIATION_NTAR_ID,0))</f>
        <v/>
      </c>
      <c r="H122" s="2032"/>
      <c r="I122" s="1909"/>
      <c r="J122" s="1943"/>
      <c r="K122" s="1948"/>
      <c r="L122" s="2032" t="s">
        <v>309</v>
      </c>
      <c r="M122" s="511"/>
      <c r="N122" s="504"/>
      <c r="O122" s="1794"/>
      <c r="P122" s="1794"/>
      <c r="AH122" s="1801">
        <v>0</v>
      </c>
    </row>
    <row s="9589" customFormat="1" customHeight="1" ht="18.75" hidden="1">
      <c r="A123" s="1950"/>
      <c r="B123" s="1950"/>
      <c r="C123" s="539" t="s">
        <v>1157</v>
      </c>
      <c r="D123" s="2632"/>
      <c r="E123" s="2374"/>
      <c r="F123" s="2553"/>
      <c r="G123" s="2597"/>
      <c r="H123" s="1670"/>
      <c r="I123" s="821" t="s">
        <v>1156</v>
      </c>
      <c r="J123" s="741"/>
      <c r="K123" s="1670"/>
      <c r="L123" s="384"/>
      <c r="M123" s="511"/>
      <c r="N123" s="504"/>
      <c r="O123" s="1794"/>
      <c r="P123" s="1794"/>
      <c r="AH123" s="1801">
        <v>0</v>
      </c>
    </row>
    <row s="9589" customFormat="1" customHeight="1" ht="0.75" hidden="1">
      <c r="A124" s="1950"/>
      <c r="B124" s="1950"/>
      <c r="C124" s="539" t="s">
        <v>1166</v>
      </c>
      <c r="D124" s="2632"/>
      <c r="E124" s="2374"/>
      <c r="F124" s="2553"/>
      <c r="G124" s="570"/>
      <c r="H124" s="1670"/>
      <c r="I124" s="821"/>
      <c r="J124" s="741"/>
      <c r="K124" s="1670"/>
      <c r="L124" s="384"/>
      <c r="M124" s="511"/>
      <c r="N124" s="504"/>
      <c r="O124" s="1794"/>
      <c r="P124" s="1794"/>
      <c r="AH124" s="1801">
        <v>0</v>
      </c>
    </row>
    <row s="9589" customFormat="1" customHeight="1" ht="18.75" hidden="1">
      <c r="A125" s="1950" t="s">
        <v>242</v>
      </c>
      <c r="B125" s="1950" t="s">
        <v>243</v>
      </c>
      <c r="C125" s="539"/>
      <c r="D125" s="2632"/>
      <c r="E125" s="2374"/>
      <c r="F125" s="2553" t="str">
        <f>INDEX(PT_DIFFERENTIATION_VTAR,MATCH(A125,PT_DIFFERENTIATION_VTAR_ID,0))</f>
        <v>Тариф на подвоз воды</v>
      </c>
      <c r="G125" s="2597" t="str">
        <f>INDEX(PT_DIFFERENTIATION_NTAR,MATCH(B125,PT_DIFFERENTIATION_NTAR_ID,0))</f>
        <v/>
      </c>
      <c r="H125" s="2032"/>
      <c r="I125" s="1909"/>
      <c r="J125" s="1943"/>
      <c r="K125" s="1948"/>
      <c r="L125" s="2032" t="s">
        <v>309</v>
      </c>
      <c r="M125" s="511"/>
      <c r="N125" s="504"/>
      <c r="O125" s="1794"/>
      <c r="P125" s="1794"/>
      <c r="AH125" s="1801">
        <v>0</v>
      </c>
    </row>
    <row s="9589" customFormat="1" customHeight="1" ht="18.75" hidden="1">
      <c r="A126" s="1950"/>
      <c r="B126" s="1950"/>
      <c r="C126" s="539" t="s">
        <v>1157</v>
      </c>
      <c r="D126" s="2632"/>
      <c r="E126" s="2374"/>
      <c r="F126" s="2553"/>
      <c r="G126" s="2597"/>
      <c r="H126" s="1670"/>
      <c r="I126" s="821" t="s">
        <v>1156</v>
      </c>
      <c r="J126" s="741"/>
      <c r="K126" s="1670"/>
      <c r="L126" s="384"/>
      <c r="M126" s="511"/>
      <c r="N126" s="504"/>
      <c r="O126" s="1794"/>
      <c r="P126" s="1794"/>
      <c r="AH126" s="1801">
        <v>0</v>
      </c>
    </row>
    <row s="9589" customFormat="1" customHeight="1" ht="0.75" hidden="1">
      <c r="A127" s="1950"/>
      <c r="B127" s="1950"/>
      <c r="C127" s="539" t="s">
        <v>1166</v>
      </c>
      <c r="D127" s="2632"/>
      <c r="E127" s="2374"/>
      <c r="F127" s="2553"/>
      <c r="G127" s="570"/>
      <c r="H127" s="1670"/>
      <c r="I127" s="821"/>
      <c r="J127" s="741"/>
      <c r="K127" s="1670"/>
      <c r="L127" s="384"/>
      <c r="M127" s="511"/>
      <c r="N127" s="504"/>
      <c r="O127" s="1794"/>
      <c r="P127" s="1794"/>
      <c r="AH127" s="1801">
        <v>0</v>
      </c>
    </row>
    <row s="9589" customFormat="1" customHeight="1" ht="18.75">
      <c r="A128" s="1950" t="s">
        <v>248</v>
      </c>
      <c r="B128" s="1950" t="s">
        <v>249</v>
      </c>
      <c r="C128" s="539"/>
      <c r="D128" s="2632"/>
      <c r="E128" s="2374"/>
      <c r="F128" s="255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97" t="str">
        <f>INDEX(PT_DIFFERENTIATION_NTAR,MATCH(B128,PT_DIFFERENTIATION_NTAR_ID,0))</f>
        <v>Тариф на подключение (технологическое присоединение) к централизованной системе холодного водоснабжения</v>
      </c>
      <c r="H128" s="2032"/>
      <c r="I128" s="8778">
        <v>45658</v>
      </c>
      <c r="J128" s="8773">
        <v>46022</v>
      </c>
      <c r="K128" s="1948">
        <v>631939.7929</v>
      </c>
      <c r="L128" s="2032" t="s">
        <v>309</v>
      </c>
      <c r="M128" s="511"/>
      <c r="N128" s="504"/>
      <c r="O128" s="1794"/>
      <c r="P128" s="1794"/>
      <c r="AH128" s="1801">
        <v>0</v>
      </c>
    </row>
    <row s="9589" customFormat="1" customHeight="1" ht="18.75">
      <c r="A129" s="1950"/>
      <c r="B129" s="1950"/>
      <c r="C129" s="539" t="s">
        <v>1157</v>
      </c>
      <c r="D129" s="2632"/>
      <c r="E129" s="2374"/>
      <c r="F129" s="2553"/>
      <c r="G129" s="2597"/>
      <c r="H129" s="1670"/>
      <c r="I129" s="821" t="s">
        <v>1156</v>
      </c>
      <c r="J129" s="741"/>
      <c r="K129" s="1670"/>
      <c r="L129" s="384"/>
      <c r="M129" s="511"/>
      <c r="N129" s="504"/>
      <c r="O129" s="1794"/>
      <c r="P129" s="1794"/>
      <c r="AH129" s="1801">
        <v>0</v>
      </c>
    </row>
    <row s="9589" customFormat="1" customHeight="1" ht="0.75">
      <c r="A130" s="1950"/>
      <c r="B130" s="1950"/>
      <c r="C130" s="539" t="s">
        <v>1166</v>
      </c>
      <c r="D130" s="2632"/>
      <c r="E130" s="2374"/>
      <c r="F130" s="2553"/>
      <c r="G130" s="570"/>
      <c r="H130" s="1670"/>
      <c r="I130" s="821"/>
      <c r="J130" s="741"/>
      <c r="K130" s="1670"/>
      <c r="L130" s="384"/>
      <c r="M130" s="511"/>
      <c r="N130" s="504"/>
      <c r="O130" s="1794"/>
      <c r="P130" s="1794"/>
      <c r="AH130" s="1801">
        <v>0</v>
      </c>
    </row>
    <row s="9589" customFormat="1" customHeight="1" ht="18.75" hidden="1">
      <c r="A131" s="1950" t="s">
        <v>253</v>
      </c>
      <c r="B131" s="1950" t="s">
        <v>254</v>
      </c>
      <c r="C131" s="539"/>
      <c r="D131" s="2632"/>
      <c r="E131" s="2374"/>
      <c r="F131" s="2553" t="str">
        <f>INDEX(PT_DIFFERENTIATION_VTAR,MATCH(A131,PT_DIFFERENTIATION_VTAR_ID,0))</f>
        <v>Тариф на горячую воду (горячее водоснабжение)</v>
      </c>
      <c r="G131" s="2597" t="str">
        <f>INDEX(PT_DIFFERENTIATION_NTAR,MATCH(B131,PT_DIFFERENTIATION_NTAR_ID,0))</f>
        <v/>
      </c>
      <c r="H131" s="2032"/>
      <c r="I131" s="1909"/>
      <c r="J131" s="1943"/>
      <c r="K131" s="1948"/>
      <c r="L131" s="2032" t="s">
        <v>309</v>
      </c>
      <c r="M131" s="511"/>
      <c r="N131" s="504"/>
      <c r="O131" s="1794"/>
      <c r="P131" s="1794"/>
      <c r="AH131" s="1801">
        <v>0</v>
      </c>
    </row>
    <row s="9589" customFormat="1" customHeight="1" ht="18.75" hidden="1">
      <c r="A132" s="1950"/>
      <c r="B132" s="1950"/>
      <c r="C132" s="539" t="s">
        <v>1157</v>
      </c>
      <c r="D132" s="2632"/>
      <c r="E132" s="2374"/>
      <c r="F132" s="2553"/>
      <c r="G132" s="2597"/>
      <c r="H132" s="1670"/>
      <c r="I132" s="821" t="s">
        <v>1156</v>
      </c>
      <c r="J132" s="741"/>
      <c r="K132" s="1670"/>
      <c r="L132" s="384"/>
      <c r="M132" s="511"/>
      <c r="N132" s="504"/>
      <c r="O132" s="1794"/>
      <c r="P132" s="1794"/>
      <c r="AH132" s="1801">
        <v>0</v>
      </c>
    </row>
    <row s="9589" customFormat="1" customHeight="1" ht="0.75" hidden="1">
      <c r="A133" s="1950"/>
      <c r="B133" s="1950"/>
      <c r="C133" s="539" t="s">
        <v>1166</v>
      </c>
      <c r="D133" s="2632"/>
      <c r="E133" s="2374"/>
      <c r="F133" s="2553"/>
      <c r="G133" s="570"/>
      <c r="H133" s="1670"/>
      <c r="I133" s="821"/>
      <c r="J133" s="741"/>
      <c r="K133" s="1670"/>
      <c r="L133" s="384"/>
      <c r="M133" s="511"/>
      <c r="N133" s="504"/>
      <c r="O133" s="1794"/>
      <c r="P133" s="1794"/>
      <c r="AH133" s="1801">
        <v>0</v>
      </c>
    </row>
    <row s="9589" customFormat="1" customHeight="1" ht="18.75" hidden="1">
      <c r="A134" s="1950" t="s">
        <v>258</v>
      </c>
      <c r="B134" s="1950" t="s">
        <v>259</v>
      </c>
      <c r="C134" s="539"/>
      <c r="D134" s="2632"/>
      <c r="E134" s="2374"/>
      <c r="F134" s="2553" t="str">
        <f>INDEX(PT_DIFFERENTIATION_VTAR,MATCH(A134,PT_DIFFERENTIATION_VTAR_ID,0))</f>
        <v>Тариф на транспортировку горячей воды</v>
      </c>
      <c r="G134" s="2597" t="str">
        <f>INDEX(PT_DIFFERENTIATION_NTAR,MATCH(B134,PT_DIFFERENTIATION_NTAR_ID,0))</f>
        <v/>
      </c>
      <c r="H134" s="2032"/>
      <c r="I134" s="1909"/>
      <c r="J134" s="1943"/>
      <c r="K134" s="1948"/>
      <c r="L134" s="2032" t="s">
        <v>309</v>
      </c>
      <c r="M134" s="511"/>
      <c r="N134" s="504"/>
      <c r="O134" s="1794"/>
      <c r="P134" s="1794"/>
      <c r="AH134" s="1801">
        <v>0</v>
      </c>
    </row>
    <row s="9589" customFormat="1" customHeight="1" ht="18.75" hidden="1">
      <c r="A135" s="1950"/>
      <c r="B135" s="1950"/>
      <c r="C135" s="539" t="s">
        <v>1157</v>
      </c>
      <c r="D135" s="2632"/>
      <c r="E135" s="2374"/>
      <c r="F135" s="2553"/>
      <c r="G135" s="2597"/>
      <c r="H135" s="1670"/>
      <c r="I135" s="821" t="s">
        <v>1156</v>
      </c>
      <c r="J135" s="741"/>
      <c r="K135" s="1670"/>
      <c r="L135" s="384"/>
      <c r="M135" s="511"/>
      <c r="N135" s="504"/>
      <c r="O135" s="1794"/>
      <c r="P135" s="1794"/>
      <c r="AH135" s="1801">
        <v>0</v>
      </c>
    </row>
    <row s="9589" customFormat="1" customHeight="1" ht="0.75" hidden="1">
      <c r="A136" s="1950"/>
      <c r="B136" s="1950"/>
      <c r="C136" s="539" t="s">
        <v>1166</v>
      </c>
      <c r="D136" s="2632"/>
      <c r="E136" s="2374"/>
      <c r="F136" s="2553"/>
      <c r="G136" s="570"/>
      <c r="H136" s="1670"/>
      <c r="I136" s="821"/>
      <c r="J136" s="741"/>
      <c r="K136" s="1670"/>
      <c r="L136" s="384"/>
      <c r="M136" s="511"/>
      <c r="N136" s="504"/>
      <c r="O136" s="1794"/>
      <c r="P136" s="1794"/>
      <c r="AH136" s="1801">
        <v>0</v>
      </c>
    </row>
    <row s="9589" customFormat="1" customHeight="1" ht="18.75" hidden="1">
      <c r="A137" s="1950" t="s">
        <v>263</v>
      </c>
      <c r="B137" s="1950" t="s">
        <v>264</v>
      </c>
      <c r="C137" s="539"/>
      <c r="D137" s="2632"/>
      <c r="E137" s="2374"/>
      <c r="F137" s="255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97" t="str">
        <f>INDEX(PT_DIFFERENTIATION_NTAR,MATCH(B137,PT_DIFFERENTIATION_NTAR_ID,0))</f>
        <v/>
      </c>
      <c r="H137" s="2032"/>
      <c r="I137" s="1909"/>
      <c r="J137" s="1943"/>
      <c r="K137" s="1948"/>
      <c r="L137" s="2032" t="s">
        <v>309</v>
      </c>
      <c r="M137" s="511"/>
      <c r="N137" s="504"/>
      <c r="O137" s="1794"/>
      <c r="P137" s="1794"/>
      <c r="AH137" s="1801">
        <v>0</v>
      </c>
    </row>
    <row s="9589" customFormat="1" customHeight="1" ht="18.75" hidden="1">
      <c r="A138" s="1950"/>
      <c r="B138" s="1950"/>
      <c r="C138" s="539" t="s">
        <v>1157</v>
      </c>
      <c r="D138" s="2632"/>
      <c r="E138" s="2374"/>
      <c r="F138" s="2553"/>
      <c r="G138" s="2597"/>
      <c r="H138" s="1670"/>
      <c r="I138" s="821" t="s">
        <v>1156</v>
      </c>
      <c r="J138" s="741"/>
      <c r="K138" s="1670"/>
      <c r="L138" s="384"/>
      <c r="M138" s="511"/>
      <c r="N138" s="504"/>
      <c r="O138" s="1794"/>
      <c r="P138" s="1794"/>
      <c r="AH138" s="1801">
        <v>0</v>
      </c>
    </row>
    <row s="9589" customFormat="1" customHeight="1" ht="0.75" hidden="1">
      <c r="A139" s="1950"/>
      <c r="B139" s="1950"/>
      <c r="C139" s="539" t="s">
        <v>1166</v>
      </c>
      <c r="D139" s="2632"/>
      <c r="E139" s="2374"/>
      <c r="F139" s="2553"/>
      <c r="G139" s="570"/>
      <c r="H139" s="1670"/>
      <c r="I139" s="821"/>
      <c r="J139" s="741"/>
      <c r="K139" s="1670"/>
      <c r="L139" s="384"/>
      <c r="M139" s="511"/>
      <c r="N139" s="504"/>
      <c r="O139" s="1794"/>
      <c r="P139" s="1794"/>
      <c r="AH139" s="1801">
        <v>0</v>
      </c>
    </row>
    <row s="9589" customFormat="1" customHeight="1" ht="18.75" hidden="1">
      <c r="A140" s="1950" t="s">
        <v>268</v>
      </c>
      <c r="B140" s="1950" t="s">
        <v>269</v>
      </c>
      <c r="C140" s="539"/>
      <c r="D140" s="2632"/>
      <c r="E140" s="2374"/>
      <c r="F140" s="2553" t="str">
        <f>INDEX(PT_DIFFERENTIATION_VTAR,MATCH(A140,PT_DIFFERENTIATION_VTAR_ID,0))</f>
        <v>Тариф на водоотведение</v>
      </c>
      <c r="G140" s="2597" t="str">
        <f>INDEX(PT_DIFFERENTIATION_NTAR,MATCH(B140,PT_DIFFERENTIATION_NTAR_ID,0))</f>
        <v/>
      </c>
      <c r="H140" s="2032"/>
      <c r="I140" s="1909"/>
      <c r="J140" s="1943"/>
      <c r="K140" s="1948"/>
      <c r="L140" s="2032" t="s">
        <v>309</v>
      </c>
      <c r="M140" s="511"/>
      <c r="N140" s="504"/>
      <c r="O140" s="1794"/>
      <c r="P140" s="1794"/>
      <c r="AH140" s="1801">
        <v>0</v>
      </c>
    </row>
    <row s="9589" customFormat="1" customHeight="1" ht="18.75" hidden="1">
      <c r="A141" s="1950"/>
      <c r="B141" s="1950"/>
      <c r="C141" s="539" t="s">
        <v>1157</v>
      </c>
      <c r="D141" s="2632"/>
      <c r="E141" s="2374"/>
      <c r="F141" s="2553"/>
      <c r="G141" s="2597"/>
      <c r="H141" s="1670"/>
      <c r="I141" s="821" t="s">
        <v>1156</v>
      </c>
      <c r="J141" s="741"/>
      <c r="K141" s="1670"/>
      <c r="L141" s="384"/>
      <c r="M141" s="511"/>
      <c r="N141" s="504"/>
      <c r="O141" s="1794"/>
      <c r="P141" s="1794"/>
      <c r="AH141" s="1801">
        <v>0</v>
      </c>
    </row>
    <row s="9589" customFormat="1" customHeight="1" ht="0.75" hidden="1">
      <c r="A142" s="1950"/>
      <c r="B142" s="1950"/>
      <c r="C142" s="539" t="s">
        <v>1166</v>
      </c>
      <c r="D142" s="2632"/>
      <c r="E142" s="2374"/>
      <c r="F142" s="2553"/>
      <c r="G142" s="570"/>
      <c r="H142" s="1670"/>
      <c r="I142" s="821"/>
      <c r="J142" s="741"/>
      <c r="K142" s="1670"/>
      <c r="L142" s="384"/>
      <c r="M142" s="511"/>
      <c r="N142" s="504"/>
      <c r="O142" s="1794"/>
      <c r="P142" s="1794"/>
      <c r="AH142" s="1801">
        <v>0</v>
      </c>
    </row>
    <row s="9589" customFormat="1" customHeight="1" ht="18.75" hidden="1">
      <c r="A143" s="1950" t="s">
        <v>273</v>
      </c>
      <c r="B143" s="1950" t="s">
        <v>274</v>
      </c>
      <c r="C143" s="539"/>
      <c r="D143" s="2632"/>
      <c r="E143" s="2374"/>
      <c r="F143" s="2553" t="str">
        <f>INDEX(PT_DIFFERENTIATION_VTAR,MATCH(A143,PT_DIFFERENTIATION_VTAR_ID,0))</f>
        <v>Тариф на транспортировку сточных вод</v>
      </c>
      <c r="G143" s="2597" t="str">
        <f>INDEX(PT_DIFFERENTIATION_NTAR,MATCH(B143,PT_DIFFERENTIATION_NTAR_ID,0))</f>
        <v/>
      </c>
      <c r="H143" s="2032"/>
      <c r="I143" s="1909"/>
      <c r="J143" s="1943"/>
      <c r="K143" s="1948"/>
      <c r="L143" s="2032" t="s">
        <v>309</v>
      </c>
      <c r="M143" s="511"/>
      <c r="N143" s="504"/>
      <c r="O143" s="1794"/>
      <c r="P143" s="1794"/>
      <c r="AH143" s="1801">
        <v>0</v>
      </c>
    </row>
    <row s="9589" customFormat="1" customHeight="1" ht="18.75" hidden="1">
      <c r="A144" s="1950"/>
      <c r="B144" s="1950"/>
      <c r="C144" s="539" t="s">
        <v>1157</v>
      </c>
      <c r="D144" s="2632"/>
      <c r="E144" s="2374"/>
      <c r="F144" s="2553"/>
      <c r="G144" s="2597"/>
      <c r="H144" s="1670"/>
      <c r="I144" s="821" t="s">
        <v>1156</v>
      </c>
      <c r="J144" s="741"/>
      <c r="K144" s="1670"/>
      <c r="L144" s="384"/>
      <c r="M144" s="511"/>
      <c r="N144" s="504"/>
      <c r="O144" s="1794"/>
      <c r="P144" s="1794"/>
      <c r="AH144" s="1801">
        <v>0</v>
      </c>
    </row>
    <row s="9589" customFormat="1" customHeight="1" ht="0.75" hidden="1">
      <c r="A145" s="1950"/>
      <c r="B145" s="1950"/>
      <c r="C145" s="539" t="s">
        <v>1166</v>
      </c>
      <c r="D145" s="2632"/>
      <c r="E145" s="2374"/>
      <c r="F145" s="2553"/>
      <c r="G145" s="570"/>
      <c r="H145" s="1670"/>
      <c r="I145" s="821"/>
      <c r="J145" s="741"/>
      <c r="K145" s="1670"/>
      <c r="L145" s="384"/>
      <c r="M145" s="511"/>
      <c r="N145" s="504"/>
      <c r="O145" s="1794"/>
      <c r="P145" s="1794"/>
      <c r="AH145" s="1801">
        <v>0</v>
      </c>
    </row>
    <row s="9589" customFormat="1" customHeight="1" ht="18.75" hidden="1">
      <c r="A146" s="1950" t="s">
        <v>278</v>
      </c>
      <c r="B146" s="1950" t="s">
        <v>279</v>
      </c>
      <c r="C146" s="539"/>
      <c r="D146" s="2632"/>
      <c r="E146" s="2374"/>
      <c r="F146" s="2553" t="str">
        <f>INDEX(PT_DIFFERENTIATION_VTAR,MATCH(A146,PT_DIFFERENTIATION_VTAR_ID,0))</f>
        <v>Тариф на подключение (технологическое присоединение) к централизованной системе водоотведения</v>
      </c>
      <c r="G146" s="2597" t="str">
        <f>INDEX(PT_DIFFERENTIATION_NTAR,MATCH(B146,PT_DIFFERENTIATION_NTAR_ID,0))</f>
        <v/>
      </c>
      <c r="H146" s="2032"/>
      <c r="I146" s="1909"/>
      <c r="J146" s="1943"/>
      <c r="K146" s="1948"/>
      <c r="L146" s="2032" t="s">
        <v>309</v>
      </c>
      <c r="M146" s="511"/>
      <c r="N146" s="504"/>
      <c r="O146" s="1794"/>
      <c r="P146" s="1794"/>
      <c r="AH146" s="1801">
        <v>0</v>
      </c>
    </row>
    <row s="9589" customFormat="1" customHeight="1" ht="18.75" hidden="1">
      <c r="A147" s="1950"/>
      <c r="B147" s="1950"/>
      <c r="C147" s="539" t="s">
        <v>1157</v>
      </c>
      <c r="D147" s="2632"/>
      <c r="E147" s="2374"/>
      <c r="F147" s="2553"/>
      <c r="G147" s="2597"/>
      <c r="H147" s="1670"/>
      <c r="I147" s="821" t="s">
        <v>1156</v>
      </c>
      <c r="J147" s="741"/>
      <c r="K147" s="1670"/>
      <c r="L147" s="384"/>
      <c r="M147" s="511"/>
      <c r="N147" s="504"/>
      <c r="O147" s="1794"/>
      <c r="P147" s="1794"/>
      <c r="AH147" s="1801">
        <v>0</v>
      </c>
    </row>
    <row s="9589" customFormat="1" customHeight="1" ht="1.05">
      <c r="A148" s="1950"/>
      <c r="B148" s="1950"/>
      <c r="C148" s="539" t="s">
        <v>1166</v>
      </c>
      <c r="D148" s="2632"/>
      <c r="E148" s="2374"/>
      <c r="F148" s="2553"/>
      <c r="G148" s="570"/>
      <c r="H148" s="1670"/>
      <c r="I148" s="821"/>
      <c r="J148" s="741"/>
      <c r="K148" s="1670"/>
      <c r="L148" s="384"/>
      <c r="M148" s="511"/>
      <c r="N148" s="504"/>
      <c r="O148" s="1794"/>
      <c r="P148" s="1794"/>
      <c r="AH148" s="1801">
        <v>1</v>
      </c>
    </row>
    <row customHeight="1" ht="19.95">
      <c r="A149" s="1950"/>
      <c r="B149" s="1950"/>
      <c r="D149" s="546"/>
      <c r="E149" s="317" t="s">
        <v>90</v>
      </c>
      <c r="F149"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630"/>
      <c r="H149" s="2630"/>
      <c r="I149" s="2630"/>
      <c r="J149" s="2630"/>
      <c r="K149" s="2630"/>
      <c r="L149" s="2630"/>
      <c r="M149" s="467"/>
      <c r="N149" s="504"/>
      <c r="AH149" s="544">
        <v>19</v>
      </c>
    </row>
    <row s="9589" customFormat="1" customHeight="1" ht="60.75" hidden="1">
      <c r="A150" s="1950" t="s">
        <v>154</v>
      </c>
      <c r="B150" s="1950" t="s">
        <v>155</v>
      </c>
      <c r="C150" s="539"/>
      <c r="D150" s="2632"/>
      <c r="E150" s="2374"/>
      <c r="F150" s="255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97" t="str">
        <f>INDEX(PT_DIFFERENTIATION_NTAR,MATCH(B150,PT_DIFFERENTIATION_NTAR_ID,0))</f>
        <v/>
      </c>
      <c r="H150" s="2032"/>
      <c r="I150" s="1909"/>
      <c r="J150" s="1943"/>
      <c r="K150" s="1948"/>
      <c r="L150" s="2032" t="s">
        <v>309</v>
      </c>
      <c r="M15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504"/>
      <c r="O150" s="1794"/>
      <c r="P150" s="1794"/>
      <c r="AH150" s="1801">
        <v>0</v>
      </c>
    </row>
    <row s="9589" customFormat="1" customHeight="1" ht="18.75" hidden="1">
      <c r="A151" s="1950"/>
      <c r="B151" s="1950"/>
      <c r="C151" s="539" t="s">
        <v>1157</v>
      </c>
      <c r="D151" s="2632"/>
      <c r="E151" s="2374"/>
      <c r="F151" s="2553"/>
      <c r="G151" s="2597"/>
      <c r="H151" s="1670"/>
      <c r="I151" s="821" t="s">
        <v>1156</v>
      </c>
      <c r="J151" s="741"/>
      <c r="K151" s="1670"/>
      <c r="L151" s="384"/>
      <c r="M151" s="2340"/>
      <c r="N151" s="504"/>
      <c r="O151" s="1794"/>
      <c r="P151" s="1794"/>
      <c r="AH151" s="1801">
        <v>0</v>
      </c>
    </row>
    <row s="9589" customFormat="1" customHeight="1" ht="0.75" hidden="1">
      <c r="A152" s="1950"/>
      <c r="B152" s="1950"/>
      <c r="C152" s="539" t="s">
        <v>1166</v>
      </c>
      <c r="D152" s="2632"/>
      <c r="E152" s="2374"/>
      <c r="F152" s="2553"/>
      <c r="G152" s="570"/>
      <c r="H152" s="1670"/>
      <c r="I152" s="821"/>
      <c r="J152" s="741"/>
      <c r="K152" s="1670"/>
      <c r="L152" s="384"/>
      <c r="M152" s="2340"/>
      <c r="N152" s="504"/>
      <c r="O152" s="1794"/>
      <c r="P152" s="1794"/>
      <c r="AH152" s="1801">
        <v>0</v>
      </c>
    </row>
    <row s="9589" customFormat="1" customHeight="1" ht="45" hidden="1">
      <c r="A153" s="1950" t="s">
        <v>159</v>
      </c>
      <c r="B153" s="1950" t="s">
        <v>160</v>
      </c>
      <c r="C153" s="539"/>
      <c r="D153" s="2632"/>
      <c r="E153" s="2374"/>
      <c r="F153" s="2553" t="str">
        <f>INDEX(PT_DIFFERENTIATION_VTAR,MATCH(A153,PT_DIFFERENTIATION_VTAR_ID,0))</f>
        <v/>
      </c>
      <c r="G153" s="2597" t="str">
        <f>INDEX(PT_DIFFERENTIATION_NTAR,MATCH(B153,PT_DIFFERENTIATION_NTAR_ID,0))</f>
        <v/>
      </c>
      <c r="H153" s="2032"/>
      <c r="I153" s="1909"/>
      <c r="J153" s="1943"/>
      <c r="K153" s="1948"/>
      <c r="L153" s="2032" t="s">
        <v>309</v>
      </c>
      <c r="M153" s="2341"/>
      <c r="N153" s="504"/>
      <c r="O153" s="1794"/>
      <c r="P153" s="1794"/>
      <c r="AH153" s="1801">
        <v>0</v>
      </c>
    </row>
    <row s="9589" customFormat="1" customHeight="1" ht="18.75" hidden="1">
      <c r="A154" s="1950"/>
      <c r="B154" s="1950"/>
      <c r="C154" s="539" t="s">
        <v>1157</v>
      </c>
      <c r="D154" s="2632"/>
      <c r="E154" s="2374"/>
      <c r="F154" s="2553"/>
      <c r="G154" s="2597"/>
      <c r="H154" s="1670"/>
      <c r="I154" s="821" t="s">
        <v>1156</v>
      </c>
      <c r="J154" s="741"/>
      <c r="K154" s="1670"/>
      <c r="L154" s="384"/>
      <c r="M154" s="2031"/>
      <c r="N154" s="504"/>
      <c r="O154" s="1794"/>
      <c r="P154" s="1794"/>
      <c r="AH154" s="1801">
        <v>0</v>
      </c>
    </row>
    <row s="9589" customFormat="1" customHeight="1" ht="0.75" hidden="1">
      <c r="A155" s="1950"/>
      <c r="B155" s="1950"/>
      <c r="C155" s="539" t="s">
        <v>1166</v>
      </c>
      <c r="D155" s="2632"/>
      <c r="E155" s="2374"/>
      <c r="F155" s="2553"/>
      <c r="G155" s="570"/>
      <c r="H155" s="1670"/>
      <c r="I155" s="821"/>
      <c r="J155" s="741"/>
      <c r="K155" s="1670"/>
      <c r="L155" s="384"/>
      <c r="M155" s="511"/>
      <c r="N155" s="504"/>
      <c r="O155" s="1794"/>
      <c r="P155" s="1794"/>
      <c r="AH155" s="1801">
        <v>0</v>
      </c>
    </row>
    <row s="9589" customFormat="1" customHeight="1" ht="45" hidden="1">
      <c r="A156" s="1950" t="s">
        <v>166</v>
      </c>
      <c r="B156" s="1950" t="s">
        <v>167</v>
      </c>
      <c r="C156" s="539"/>
      <c r="D156" s="2632"/>
      <c r="E156" s="2374"/>
      <c r="F156" s="255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597" t="str">
        <f>INDEX(PT_DIFFERENTIATION_NTAR,MATCH(B156,PT_DIFFERENTIATION_NTAR_ID,0))</f>
        <v/>
      </c>
      <c r="H156" s="2032"/>
      <c r="I156" s="1909"/>
      <c r="J156" s="1943"/>
      <c r="K156" s="1948"/>
      <c r="L156" s="2032" t="s">
        <v>309</v>
      </c>
      <c r="M156" s="511"/>
      <c r="N156" s="504"/>
      <c r="O156" s="1794"/>
      <c r="P156" s="1794"/>
      <c r="AH156" s="1801">
        <v>0</v>
      </c>
    </row>
    <row s="9589" customFormat="1" customHeight="1" ht="18.75" hidden="1">
      <c r="A157" s="1950"/>
      <c r="B157" s="1950"/>
      <c r="C157" s="539" t="s">
        <v>1157</v>
      </c>
      <c r="D157" s="2632"/>
      <c r="E157" s="2374"/>
      <c r="F157" s="2553"/>
      <c r="G157" s="2597"/>
      <c r="H157" s="1670"/>
      <c r="I157" s="821" t="s">
        <v>1156</v>
      </c>
      <c r="J157" s="741"/>
      <c r="K157" s="1670"/>
      <c r="L157" s="384"/>
      <c r="M157" s="511"/>
      <c r="N157" s="504"/>
      <c r="O157" s="1794"/>
      <c r="P157" s="1794"/>
      <c r="AH157" s="1801">
        <v>0</v>
      </c>
    </row>
    <row s="9589" customFormat="1" customHeight="1" ht="0.75" hidden="1">
      <c r="A158" s="1950"/>
      <c r="B158" s="1950"/>
      <c r="C158" s="539" t="s">
        <v>1166</v>
      </c>
      <c r="D158" s="2632"/>
      <c r="E158" s="2374"/>
      <c r="F158" s="2553"/>
      <c r="G158" s="570"/>
      <c r="H158" s="1670"/>
      <c r="I158" s="821"/>
      <c r="J158" s="741"/>
      <c r="K158" s="1670"/>
      <c r="L158" s="384"/>
      <c r="M158" s="511"/>
      <c r="N158" s="504"/>
      <c r="O158" s="1794"/>
      <c r="P158" s="1794"/>
      <c r="AH158" s="1801">
        <v>0</v>
      </c>
    </row>
    <row s="9589" customFormat="1" customHeight="1" ht="45" hidden="1">
      <c r="A159" s="1950" t="s">
        <v>172</v>
      </c>
      <c r="B159" s="1950" t="s">
        <v>173</v>
      </c>
      <c r="C159" s="539"/>
      <c r="D159" s="2632"/>
      <c r="E159" s="2374"/>
      <c r="F159" s="255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597" t="str">
        <f>INDEX(PT_DIFFERENTIATION_NTAR,MATCH(B159,PT_DIFFERENTIATION_NTAR_ID,0))</f>
        <v/>
      </c>
      <c r="H159" s="2032"/>
      <c r="I159" s="1909"/>
      <c r="J159" s="1943"/>
      <c r="K159" s="1948"/>
      <c r="L159" s="2032" t="s">
        <v>309</v>
      </c>
      <c r="M159" s="511"/>
      <c r="N159" s="504"/>
      <c r="O159" s="1794"/>
      <c r="P159" s="1794"/>
      <c r="AH159" s="1801">
        <v>0</v>
      </c>
    </row>
    <row s="9589" customFormat="1" customHeight="1" ht="18.75" hidden="1">
      <c r="A160" s="1950"/>
      <c r="B160" s="1950"/>
      <c r="C160" s="539" t="s">
        <v>1157</v>
      </c>
      <c r="D160" s="2632"/>
      <c r="E160" s="2374"/>
      <c r="F160" s="2553"/>
      <c r="G160" s="2597"/>
      <c r="H160" s="1670"/>
      <c r="I160" s="821" t="s">
        <v>1156</v>
      </c>
      <c r="J160" s="741"/>
      <c r="K160" s="1670"/>
      <c r="L160" s="384"/>
      <c r="M160" s="511"/>
      <c r="N160" s="504"/>
      <c r="O160" s="1794"/>
      <c r="P160" s="1794"/>
      <c r="AH160" s="1801">
        <v>0</v>
      </c>
    </row>
    <row s="9589" customFormat="1" customHeight="1" ht="0.75" hidden="1">
      <c r="A161" s="1950"/>
      <c r="B161" s="1950"/>
      <c r="C161" s="539" t="s">
        <v>1166</v>
      </c>
      <c r="D161" s="2632"/>
      <c r="E161" s="2374"/>
      <c r="F161" s="2553"/>
      <c r="G161" s="570"/>
      <c r="H161" s="1670"/>
      <c r="I161" s="821"/>
      <c r="J161" s="741"/>
      <c r="K161" s="1670"/>
      <c r="L161" s="384"/>
      <c r="M161" s="511"/>
      <c r="N161" s="504"/>
      <c r="O161" s="1794"/>
      <c r="P161" s="1794"/>
      <c r="AH161" s="1801">
        <v>0</v>
      </c>
    </row>
    <row s="9589" customFormat="1" customHeight="1" ht="18.75" hidden="1">
      <c r="A162" s="1950" t="s">
        <v>178</v>
      </c>
      <c r="B162" s="1950" t="s">
        <v>179</v>
      </c>
      <c r="C162" s="539"/>
      <c r="D162" s="2632"/>
      <c r="E162" s="2374"/>
      <c r="F162" s="2553" t="str">
        <f>INDEX(PT_DIFFERENTIATION_VTAR,MATCH(A162,PT_DIFFERENTIATION_VTAR_ID,0))</f>
        <v>Тарифы на услуги по передаче тепловой энергии</v>
      </c>
      <c r="G162" s="2597" t="str">
        <f>INDEX(PT_DIFFERENTIATION_NTAR,MATCH(B162,PT_DIFFERENTIATION_NTAR_ID,0))</f>
        <v/>
      </c>
      <c r="H162" s="2032"/>
      <c r="I162" s="1909"/>
      <c r="J162" s="1943"/>
      <c r="K162" s="1948"/>
      <c r="L162" s="2032" t="s">
        <v>309</v>
      </c>
      <c r="M162" s="511"/>
      <c r="N162" s="504"/>
      <c r="O162" s="1794"/>
      <c r="P162" s="1794"/>
      <c r="AH162" s="1801">
        <v>0</v>
      </c>
    </row>
    <row s="9589" customFormat="1" customHeight="1" ht="18.75" hidden="1">
      <c r="A163" s="1950"/>
      <c r="B163" s="1950"/>
      <c r="C163" s="539" t="s">
        <v>1157</v>
      </c>
      <c r="D163" s="2632"/>
      <c r="E163" s="2374"/>
      <c r="F163" s="2553"/>
      <c r="G163" s="2597"/>
      <c r="H163" s="1670"/>
      <c r="I163" s="821" t="s">
        <v>1156</v>
      </c>
      <c r="J163" s="741"/>
      <c r="K163" s="1670"/>
      <c r="L163" s="384"/>
      <c r="M163" s="511"/>
      <c r="N163" s="504"/>
      <c r="O163" s="1794"/>
      <c r="P163" s="1794"/>
      <c r="AH163" s="1801">
        <v>0</v>
      </c>
    </row>
    <row s="9589" customFormat="1" customHeight="1" ht="0.75" hidden="1">
      <c r="A164" s="1950"/>
      <c r="B164" s="1950"/>
      <c r="C164" s="539" t="s">
        <v>1166</v>
      </c>
      <c r="D164" s="2632"/>
      <c r="E164" s="2374"/>
      <c r="F164" s="2553"/>
      <c r="G164" s="570"/>
      <c r="H164" s="1670"/>
      <c r="I164" s="821"/>
      <c r="J164" s="741"/>
      <c r="K164" s="1670"/>
      <c r="L164" s="384"/>
      <c r="M164" s="511"/>
      <c r="N164" s="504"/>
      <c r="O164" s="1794"/>
      <c r="P164" s="1794"/>
      <c r="AH164" s="1801">
        <v>0</v>
      </c>
    </row>
    <row s="9589" customFormat="1" customHeight="1" ht="18.75" hidden="1">
      <c r="A165" s="1950" t="s">
        <v>184</v>
      </c>
      <c r="B165" s="1950" t="s">
        <v>185</v>
      </c>
      <c r="C165" s="539"/>
      <c r="D165" s="2632"/>
      <c r="E165" s="2374"/>
      <c r="F165" s="2553" t="str">
        <f>INDEX(PT_DIFFERENTIATION_VTAR,MATCH(A165,PT_DIFFERENTIATION_VTAR_ID,0))</f>
        <v>Тарифы на услуги по передаче теплоносителя</v>
      </c>
      <c r="G165" s="2597" t="str">
        <f>INDEX(PT_DIFFERENTIATION_NTAR,MATCH(B165,PT_DIFFERENTIATION_NTAR_ID,0))</f>
        <v/>
      </c>
      <c r="H165" s="2032"/>
      <c r="I165" s="1909"/>
      <c r="J165" s="1943"/>
      <c r="K165" s="1948"/>
      <c r="L165" s="2032" t="s">
        <v>309</v>
      </c>
      <c r="M165" s="511"/>
      <c r="N165" s="504"/>
      <c r="O165" s="1794"/>
      <c r="P165" s="1794"/>
      <c r="AH165" s="1801">
        <v>0</v>
      </c>
    </row>
    <row s="9589" customFormat="1" customHeight="1" ht="18.75" hidden="1">
      <c r="A166" s="1950"/>
      <c r="B166" s="1950"/>
      <c r="C166" s="539" t="s">
        <v>1157</v>
      </c>
      <c r="D166" s="2632"/>
      <c r="E166" s="2374"/>
      <c r="F166" s="2553"/>
      <c r="G166" s="2597"/>
      <c r="H166" s="1670"/>
      <c r="I166" s="821" t="s">
        <v>1156</v>
      </c>
      <c r="J166" s="741"/>
      <c r="K166" s="1670"/>
      <c r="L166" s="384"/>
      <c r="M166" s="511"/>
      <c r="N166" s="504"/>
      <c r="O166" s="1794"/>
      <c r="P166" s="1794"/>
      <c r="AH166" s="1801">
        <v>0</v>
      </c>
    </row>
    <row s="9589" customFormat="1" customHeight="1" ht="0.75" hidden="1">
      <c r="A167" s="1950"/>
      <c r="B167" s="1950"/>
      <c r="C167" s="539" t="s">
        <v>1166</v>
      </c>
      <c r="D167" s="2632"/>
      <c r="E167" s="2374"/>
      <c r="F167" s="2553"/>
      <c r="G167" s="570"/>
      <c r="H167" s="1670"/>
      <c r="I167" s="821"/>
      <c r="J167" s="741"/>
      <c r="K167" s="1670"/>
      <c r="L167" s="384"/>
      <c r="M167" s="511"/>
      <c r="N167" s="504"/>
      <c r="O167" s="1794"/>
      <c r="P167" s="1794"/>
      <c r="AH167" s="1801">
        <v>0</v>
      </c>
    </row>
    <row s="9589" customFormat="1" customHeight="1" ht="18.75" hidden="1">
      <c r="A168" s="1950" t="s">
        <v>190</v>
      </c>
      <c r="B168" s="1950" t="s">
        <v>191</v>
      </c>
      <c r="C168" s="539"/>
      <c r="D168" s="2632"/>
      <c r="E168" s="2374"/>
      <c r="F168" s="255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597" t="str">
        <f>INDEX(PT_DIFFERENTIATION_NTAR,MATCH(B168,PT_DIFFERENTIATION_NTAR_ID,0))</f>
        <v/>
      </c>
      <c r="H168" s="2032"/>
      <c r="I168" s="1909"/>
      <c r="J168" s="1943"/>
      <c r="K168" s="1948"/>
      <c r="L168" s="2032" t="s">
        <v>309</v>
      </c>
      <c r="M168" s="511"/>
      <c r="N168" s="504"/>
      <c r="O168" s="1794"/>
      <c r="P168" s="1794"/>
      <c r="AH168" s="1801">
        <v>0</v>
      </c>
    </row>
    <row s="9589" customFormat="1" customHeight="1" ht="18.75" hidden="1">
      <c r="A169" s="1950"/>
      <c r="B169" s="1950"/>
      <c r="C169" s="539" t="s">
        <v>1157</v>
      </c>
      <c r="D169" s="2632"/>
      <c r="E169" s="2374"/>
      <c r="F169" s="2553"/>
      <c r="G169" s="2597"/>
      <c r="H169" s="1670"/>
      <c r="I169" s="821" t="s">
        <v>1156</v>
      </c>
      <c r="J169" s="741"/>
      <c r="K169" s="1670"/>
      <c r="L169" s="384"/>
      <c r="M169" s="511"/>
      <c r="N169" s="504"/>
      <c r="O169" s="1794"/>
      <c r="P169" s="1794"/>
      <c r="AH169" s="1801">
        <v>0</v>
      </c>
    </row>
    <row s="9589" customFormat="1" customHeight="1" ht="0.75" hidden="1">
      <c r="A170" s="1950"/>
      <c r="B170" s="1950"/>
      <c r="C170" s="539" t="s">
        <v>1166</v>
      </c>
      <c r="D170" s="2632"/>
      <c r="E170" s="2374"/>
      <c r="F170" s="2553"/>
      <c r="G170" s="570"/>
      <c r="H170" s="1670"/>
      <c r="I170" s="821"/>
      <c r="J170" s="741"/>
      <c r="K170" s="1670"/>
      <c r="L170" s="384"/>
      <c r="M170" s="511"/>
      <c r="N170" s="504"/>
      <c r="O170" s="1794"/>
      <c r="P170" s="1794"/>
      <c r="AH170" s="1801">
        <v>0</v>
      </c>
    </row>
    <row s="9589" customFormat="1" customHeight="1" ht="18.75" hidden="1">
      <c r="A171" s="1950" t="s">
        <v>196</v>
      </c>
      <c r="B171" s="1950" t="s">
        <v>197</v>
      </c>
      <c r="C171" s="539"/>
      <c r="D171" s="2632"/>
      <c r="E171" s="2374"/>
      <c r="F171" s="2553" t="str">
        <f>INDEX(PT_DIFFERENTIATION_VTAR,MATCH(A171,PT_DIFFERENTIATION_VTAR_ID,0))</f>
        <v>Плата за подключение (технологическое присоединение) к системе теплоснабжения</v>
      </c>
      <c r="G171" s="2597" t="str">
        <f>INDEX(PT_DIFFERENTIATION_NTAR,MATCH(B171,PT_DIFFERENTIATION_NTAR_ID,0))</f>
        <v/>
      </c>
      <c r="H171" s="2032"/>
      <c r="I171" s="1909"/>
      <c r="J171" s="1943"/>
      <c r="K171" s="1948"/>
      <c r="L171" s="2032" t="s">
        <v>309</v>
      </c>
      <c r="M171" s="511"/>
      <c r="N171" s="504"/>
      <c r="O171" s="1794"/>
      <c r="P171" s="1794"/>
      <c r="AH171" s="1801">
        <v>0</v>
      </c>
    </row>
    <row s="9589" customFormat="1" customHeight="1" ht="18.75" hidden="1">
      <c r="A172" s="1950"/>
      <c r="B172" s="1950"/>
      <c r="C172" s="539" t="s">
        <v>1157</v>
      </c>
      <c r="D172" s="2632"/>
      <c r="E172" s="2374"/>
      <c r="F172" s="2553"/>
      <c r="G172" s="2597"/>
      <c r="H172" s="1670"/>
      <c r="I172" s="821" t="s">
        <v>1156</v>
      </c>
      <c r="J172" s="741"/>
      <c r="K172" s="1670"/>
      <c r="L172" s="384"/>
      <c r="M172" s="511"/>
      <c r="N172" s="504"/>
      <c r="O172" s="1794"/>
      <c r="P172" s="1794"/>
      <c r="AH172" s="1801">
        <v>0</v>
      </c>
    </row>
    <row s="9589" customFormat="1" customHeight="1" ht="0.75" hidden="1">
      <c r="A173" s="1950"/>
      <c r="B173" s="1950"/>
      <c r="C173" s="539" t="s">
        <v>1166</v>
      </c>
      <c r="D173" s="2632"/>
      <c r="E173" s="2374"/>
      <c r="F173" s="2553"/>
      <c r="G173" s="570"/>
      <c r="H173" s="1670"/>
      <c r="I173" s="821"/>
      <c r="J173" s="741"/>
      <c r="K173" s="1670"/>
      <c r="L173" s="384"/>
      <c r="M173" s="511"/>
      <c r="N173" s="504"/>
      <c r="O173" s="1794"/>
      <c r="P173" s="1794"/>
      <c r="AH173" s="1801">
        <v>0</v>
      </c>
    </row>
    <row s="9589" customFormat="1" customHeight="1" ht="18.75" hidden="1">
      <c r="A174" s="1950" t="s">
        <v>202</v>
      </c>
      <c r="B174" s="1950" t="s">
        <v>203</v>
      </c>
      <c r="C174" s="539"/>
      <c r="D174" s="2632"/>
      <c r="E174" s="2374"/>
      <c r="F174" s="2553" t="str">
        <f>INDEX(PT_DIFFERENTIATION_VTAR,MATCH(A174,PT_DIFFERENTIATION_VTAR_ID,0))</f>
        <v>Плата за подключение (технологическое присоединение) к системе теплоснабжения (индивидуальная)</v>
      </c>
      <c r="G174" s="2597" t="str">
        <f>INDEX(PT_DIFFERENTIATION_NTAR,MATCH(B174,PT_DIFFERENTIATION_NTAR_ID,0))</f>
        <v/>
      </c>
      <c r="H174" s="2159"/>
      <c r="I174" s="1909"/>
      <c r="J174" s="1943"/>
      <c r="K174" s="1948"/>
      <c r="L174" s="2159" t="s">
        <v>309</v>
      </c>
      <c r="M174" s="511"/>
      <c r="N174" s="504"/>
      <c r="O174" s="1794"/>
      <c r="P174" s="1794"/>
      <c r="AH174" s="1801">
        <v>0</v>
      </c>
    </row>
    <row s="9589" customFormat="1" customHeight="1" ht="18.75" hidden="1">
      <c r="A175" s="1950"/>
      <c r="B175" s="1950"/>
      <c r="C175" s="539" t="s">
        <v>1157</v>
      </c>
      <c r="D175" s="2632"/>
      <c r="E175" s="2374"/>
      <c r="F175" s="2553"/>
      <c r="G175" s="2597"/>
      <c r="H175" s="1670"/>
      <c r="I175" s="821" t="s">
        <v>1156</v>
      </c>
      <c r="J175" s="741"/>
      <c r="K175" s="1670"/>
      <c r="L175" s="384"/>
      <c r="M175" s="511"/>
      <c r="N175" s="504"/>
      <c r="O175" s="1794"/>
      <c r="P175" s="1794"/>
      <c r="AH175" s="1801">
        <v>0</v>
      </c>
    </row>
    <row s="9589" customFormat="1" customHeight="1" ht="0.75" hidden="1">
      <c r="A176" s="1950"/>
      <c r="B176" s="1950"/>
      <c r="C176" s="539" t="s">
        <v>1166</v>
      </c>
      <c r="D176" s="2632"/>
      <c r="E176" s="2374"/>
      <c r="F176" s="2553"/>
      <c r="G176" s="570"/>
      <c r="H176" s="1670"/>
      <c r="I176" s="821"/>
      <c r="J176" s="741"/>
      <c r="K176" s="1670"/>
      <c r="L176" s="384"/>
      <c r="M176" s="511"/>
      <c r="N176" s="504"/>
      <c r="O176" s="1794"/>
      <c r="P176" s="1794"/>
      <c r="AH176" s="1801">
        <v>0</v>
      </c>
    </row>
    <row s="9589" customFormat="1" customHeight="1" ht="18.75">
      <c r="A177" s="1950" t="s">
        <v>224</v>
      </c>
      <c r="B177" s="1950" t="s">
        <v>225</v>
      </c>
      <c r="C177" s="539"/>
      <c r="D177" s="2632"/>
      <c r="E177" s="2374"/>
      <c r="F177" s="2553" t="str">
        <f>INDEX(PT_DIFFERENTIATION_VTAR,MATCH(A177,PT_DIFFERENTIATION_VTAR_ID,0))</f>
        <v>Тариф на питьевую воду (питьевое водоснабжение)</v>
      </c>
      <c r="G177" s="2597" t="str">
        <f>INDEX(PT_DIFFERENTIATION_NTAR,MATCH(B177,PT_DIFFERENTIATION_NTAR_ID,0))</f>
        <v>Холодное водоснабжение. Питьевая вода</v>
      </c>
      <c r="H177" s="2032"/>
      <c r="I177" s="4826">
        <v>45658.414814814816</v>
      </c>
      <c r="J177" s="4827">
        <v>45838.41488425926</v>
      </c>
      <c r="K177" s="1948">
        <v>20975.76</v>
      </c>
      <c r="L177" s="2032" t="s">
        <v>309</v>
      </c>
      <c r="M177" s="511"/>
      <c r="N177" s="504"/>
      <c r="O177" s="1794"/>
      <c r="P177" s="1794"/>
      <c r="AH177" s="1801">
        <v>0</v>
      </c>
    </row>
    <row s="12726" customFormat="1" customHeight="1" ht="56.25">
      <c r="A178" s="4828"/>
      <c r="B178" s="4828"/>
      <c r="C178" s="4829"/>
      <c r="D178" s="4830"/>
      <c r="E178" s="4831"/>
      <c r="F178" s="4831"/>
      <c r="G178" s="4831"/>
      <c r="H178" s="4054" t="s">
        <v>489</v>
      </c>
      <c r="I178" s="4826">
        <v>45839.41511574074</v>
      </c>
      <c r="J178" s="4827">
        <v>46022.41519675926</v>
      </c>
      <c r="K178" s="4839">
        <v>21035.53</v>
      </c>
      <c r="L178" s="4056" t="s">
        <v>309</v>
      </c>
      <c r="M178" s="4833"/>
      <c r="N178" s="4834"/>
      <c r="O178" s="4835"/>
      <c r="P178" s="4835"/>
      <c r="Q178" s="3973"/>
      <c r="R178" s="3973"/>
      <c r="S178" s="3973"/>
      <c r="T178" s="3973"/>
      <c r="U178" s="3973"/>
      <c r="V178" s="3973"/>
      <c r="W178" s="3973"/>
      <c r="X178" s="3973"/>
      <c r="Y178" s="3973"/>
      <c r="Z178" s="3973"/>
      <c r="AA178" s="3973"/>
      <c r="AB178" s="3973"/>
      <c r="AC178" s="3973"/>
      <c r="AD178" s="3973"/>
      <c r="AE178" s="3973"/>
      <c r="AF178" s="3973"/>
      <c r="AG178" s="3973"/>
      <c r="AH178" s="3973">
        <v>0</v>
      </c>
    </row>
    <row s="9589" customFormat="1" customHeight="1" ht="18.75">
      <c r="A179" s="1950"/>
      <c r="B179" s="1950"/>
      <c r="C179" s="539" t="s">
        <v>1157</v>
      </c>
      <c r="D179" s="2632"/>
      <c r="E179" s="2374"/>
      <c r="F179" s="2553"/>
      <c r="G179" s="2597"/>
      <c r="H179" s="1670"/>
      <c r="I179" s="821" t="s">
        <v>1156</v>
      </c>
      <c r="J179" s="741"/>
      <c r="K179" s="1670"/>
      <c r="L179" s="384"/>
      <c r="M179" s="511"/>
      <c r="N179" s="504"/>
      <c r="O179" s="1794"/>
      <c r="P179" s="1794"/>
      <c r="AH179" s="1801">
        <v>0</v>
      </c>
    </row>
    <row s="9589" customFormat="1" customHeight="1" ht="0.75">
      <c r="A180" s="1950"/>
      <c r="B180" s="1950"/>
      <c r="C180" s="539" t="s">
        <v>1166</v>
      </c>
      <c r="D180" s="2632"/>
      <c r="E180" s="2374"/>
      <c r="F180" s="2553"/>
      <c r="G180" s="570"/>
      <c r="H180" s="1670"/>
      <c r="I180" s="821"/>
      <c r="J180" s="741"/>
      <c r="K180" s="1670"/>
      <c r="L180" s="384"/>
      <c r="M180" s="511"/>
      <c r="N180" s="504"/>
      <c r="O180" s="1794"/>
      <c r="P180" s="1794"/>
      <c r="AH180" s="1801">
        <v>0</v>
      </c>
    </row>
    <row s="9589" customFormat="1" customHeight="1" ht="18.75" hidden="1">
      <c r="A181" s="1950" t="s">
        <v>232</v>
      </c>
      <c r="B181" s="1950" t="s">
        <v>233</v>
      </c>
      <c r="C181" s="539"/>
      <c r="D181" s="2632"/>
      <c r="E181" s="2374"/>
      <c r="F181" s="2553" t="str">
        <f>INDEX(PT_DIFFERENTIATION_VTAR,MATCH(A181,PT_DIFFERENTIATION_VTAR_ID,0))</f>
        <v>Тариф на техническую воду</v>
      </c>
      <c r="G181" s="2597" t="str">
        <f>INDEX(PT_DIFFERENTIATION_NTAR,MATCH(B181,PT_DIFFERENTIATION_NTAR_ID,0))</f>
        <v/>
      </c>
      <c r="H181" s="2032"/>
      <c r="I181" s="1909"/>
      <c r="J181" s="1943"/>
      <c r="K181" s="1948"/>
      <c r="L181" s="2032" t="s">
        <v>309</v>
      </c>
      <c r="M181" s="511"/>
      <c r="N181" s="504"/>
      <c r="O181" s="1794"/>
      <c r="P181" s="1794"/>
      <c r="AH181" s="1801">
        <v>0</v>
      </c>
    </row>
    <row s="9589" customFormat="1" customHeight="1" ht="18.75" hidden="1">
      <c r="A182" s="1950"/>
      <c r="B182" s="1950"/>
      <c r="C182" s="539" t="s">
        <v>1157</v>
      </c>
      <c r="D182" s="2632"/>
      <c r="E182" s="2374"/>
      <c r="F182" s="2553"/>
      <c r="G182" s="2597"/>
      <c r="H182" s="1670"/>
      <c r="I182" s="821" t="s">
        <v>1156</v>
      </c>
      <c r="J182" s="741"/>
      <c r="K182" s="1670"/>
      <c r="L182" s="384"/>
      <c r="M182" s="511"/>
      <c r="N182" s="504"/>
      <c r="O182" s="1794"/>
      <c r="P182" s="1794"/>
      <c r="AH182" s="1801">
        <v>0</v>
      </c>
    </row>
    <row s="9589" customFormat="1" customHeight="1" ht="0.75" hidden="1">
      <c r="A183" s="1950"/>
      <c r="B183" s="1950"/>
      <c r="C183" s="539" t="s">
        <v>1166</v>
      </c>
      <c r="D183" s="2632"/>
      <c r="E183" s="2374"/>
      <c r="F183" s="2553"/>
      <c r="G183" s="570"/>
      <c r="H183" s="1670"/>
      <c r="I183" s="821"/>
      <c r="J183" s="741"/>
      <c r="K183" s="1670"/>
      <c r="L183" s="384"/>
      <c r="M183" s="511"/>
      <c r="N183" s="504"/>
      <c r="O183" s="1794"/>
      <c r="P183" s="1794"/>
      <c r="AH183" s="1801">
        <v>0</v>
      </c>
    </row>
    <row s="9589" customFormat="1" customHeight="1" ht="18.75" hidden="1">
      <c r="A184" s="1950" t="s">
        <v>237</v>
      </c>
      <c r="B184" s="1950" t="s">
        <v>238</v>
      </c>
      <c r="C184" s="539"/>
      <c r="D184" s="2632"/>
      <c r="E184" s="2374"/>
      <c r="F184" s="2553" t="str">
        <f>INDEX(PT_DIFFERENTIATION_VTAR,MATCH(A184,PT_DIFFERENTIATION_VTAR_ID,0))</f>
        <v>Тариф на транспортировку воды</v>
      </c>
      <c r="G184" s="2597" t="str">
        <f>INDEX(PT_DIFFERENTIATION_NTAR,MATCH(B184,PT_DIFFERENTIATION_NTAR_ID,0))</f>
        <v/>
      </c>
      <c r="H184" s="2032"/>
      <c r="I184" s="1909"/>
      <c r="J184" s="1943"/>
      <c r="K184" s="1948"/>
      <c r="L184" s="2032" t="s">
        <v>309</v>
      </c>
      <c r="M184" s="511"/>
      <c r="N184" s="504"/>
      <c r="O184" s="1794"/>
      <c r="P184" s="1794"/>
      <c r="AH184" s="1801">
        <v>0</v>
      </c>
    </row>
    <row s="9589" customFormat="1" customHeight="1" ht="18.75" hidden="1">
      <c r="A185" s="1950"/>
      <c r="B185" s="1950"/>
      <c r="C185" s="539" t="s">
        <v>1157</v>
      </c>
      <c r="D185" s="2632"/>
      <c r="E185" s="2374"/>
      <c r="F185" s="2553"/>
      <c r="G185" s="2597"/>
      <c r="H185" s="1670"/>
      <c r="I185" s="821" t="s">
        <v>1156</v>
      </c>
      <c r="J185" s="741"/>
      <c r="K185" s="1670"/>
      <c r="L185" s="384"/>
      <c r="M185" s="511"/>
      <c r="N185" s="504"/>
      <c r="O185" s="1794"/>
      <c r="P185" s="1794"/>
      <c r="AH185" s="1801">
        <v>0</v>
      </c>
    </row>
    <row s="9589" customFormat="1" customHeight="1" ht="0.75" hidden="1">
      <c r="A186" s="1950"/>
      <c r="B186" s="1950"/>
      <c r="C186" s="539" t="s">
        <v>1166</v>
      </c>
      <c r="D186" s="2632"/>
      <c r="E186" s="2374"/>
      <c r="F186" s="2553"/>
      <c r="G186" s="570"/>
      <c r="H186" s="1670"/>
      <c r="I186" s="821"/>
      <c r="J186" s="741"/>
      <c r="K186" s="1670"/>
      <c r="L186" s="384"/>
      <c r="M186" s="511"/>
      <c r="N186" s="504"/>
      <c r="O186" s="1794"/>
      <c r="P186" s="1794"/>
      <c r="AH186" s="1801">
        <v>0</v>
      </c>
    </row>
    <row s="9589" customFormat="1" customHeight="1" ht="18.75" hidden="1">
      <c r="A187" s="1950" t="s">
        <v>242</v>
      </c>
      <c r="B187" s="1950" t="s">
        <v>243</v>
      </c>
      <c r="C187" s="539"/>
      <c r="D187" s="2632"/>
      <c r="E187" s="2374"/>
      <c r="F187" s="2553" t="str">
        <f>INDEX(PT_DIFFERENTIATION_VTAR,MATCH(A187,PT_DIFFERENTIATION_VTAR_ID,0))</f>
        <v>Тариф на подвоз воды</v>
      </c>
      <c r="G187" s="2597" t="str">
        <f>INDEX(PT_DIFFERENTIATION_NTAR,MATCH(B187,PT_DIFFERENTIATION_NTAR_ID,0))</f>
        <v/>
      </c>
      <c r="H187" s="2032"/>
      <c r="I187" s="1909"/>
      <c r="J187" s="1943"/>
      <c r="K187" s="1948"/>
      <c r="L187" s="2032" t="s">
        <v>309</v>
      </c>
      <c r="M187" s="511"/>
      <c r="N187" s="504"/>
      <c r="O187" s="1794"/>
      <c r="P187" s="1794"/>
      <c r="AH187" s="1801">
        <v>0</v>
      </c>
    </row>
    <row s="9589" customFormat="1" customHeight="1" ht="18.75" hidden="1">
      <c r="A188" s="1950"/>
      <c r="B188" s="1950"/>
      <c r="C188" s="539" t="s">
        <v>1157</v>
      </c>
      <c r="D188" s="2632"/>
      <c r="E188" s="2374"/>
      <c r="F188" s="2553"/>
      <c r="G188" s="2597"/>
      <c r="H188" s="1670"/>
      <c r="I188" s="821" t="s">
        <v>1156</v>
      </c>
      <c r="J188" s="741"/>
      <c r="K188" s="1670"/>
      <c r="L188" s="384"/>
      <c r="M188" s="511"/>
      <c r="N188" s="504"/>
      <c r="O188" s="1794"/>
      <c r="P188" s="1794"/>
      <c r="AH188" s="1801">
        <v>0</v>
      </c>
    </row>
    <row s="9589" customFormat="1" customHeight="1" ht="0.75" hidden="1">
      <c r="A189" s="1950"/>
      <c r="B189" s="1950"/>
      <c r="C189" s="539" t="s">
        <v>1166</v>
      </c>
      <c r="D189" s="2632"/>
      <c r="E189" s="2374"/>
      <c r="F189" s="2553"/>
      <c r="G189" s="570"/>
      <c r="H189" s="1670"/>
      <c r="I189" s="821"/>
      <c r="J189" s="741"/>
      <c r="K189" s="1670"/>
      <c r="L189" s="384"/>
      <c r="M189" s="511"/>
      <c r="N189" s="504"/>
      <c r="O189" s="1794"/>
      <c r="P189" s="1794"/>
      <c r="AH189" s="1801">
        <v>0</v>
      </c>
    </row>
    <row s="9589" customFormat="1" customHeight="1" ht="18.75">
      <c r="A190" s="1950" t="s">
        <v>248</v>
      </c>
      <c r="B190" s="1950" t="s">
        <v>249</v>
      </c>
      <c r="C190" s="539"/>
      <c r="D190" s="2632"/>
      <c r="E190" s="2374"/>
      <c r="F190" s="255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597" t="str">
        <f>INDEX(PT_DIFFERENTIATION_NTAR,MATCH(B190,PT_DIFFERENTIATION_NTAR_ID,0))</f>
        <v>Тариф на подключение (технологическое присоединение) к централизованной системе холодного водоснабжения</v>
      </c>
      <c r="H190" s="2032"/>
      <c r="I190" s="8778">
        <v>45658</v>
      </c>
      <c r="J190" s="8773">
        <v>46022</v>
      </c>
      <c r="K190" s="1948">
        <v>24589.097</v>
      </c>
      <c r="L190" s="2032" t="s">
        <v>309</v>
      </c>
      <c r="M190" s="511"/>
      <c r="N190" s="504"/>
      <c r="O190" s="1794"/>
      <c r="P190" s="1794"/>
      <c r="AH190" s="1801">
        <v>0</v>
      </c>
    </row>
    <row s="9589" customFormat="1" customHeight="1" ht="18.75">
      <c r="A191" s="1950"/>
      <c r="B191" s="1950"/>
      <c r="C191" s="539" t="s">
        <v>1157</v>
      </c>
      <c r="D191" s="2632"/>
      <c r="E191" s="2374"/>
      <c r="F191" s="2553"/>
      <c r="G191" s="2597"/>
      <c r="H191" s="1670"/>
      <c r="I191" s="821" t="s">
        <v>1156</v>
      </c>
      <c r="J191" s="741"/>
      <c r="K191" s="1670"/>
      <c r="L191" s="384"/>
      <c r="M191" s="511"/>
      <c r="N191" s="504"/>
      <c r="O191" s="1794"/>
      <c r="P191" s="1794"/>
      <c r="AH191" s="1801">
        <v>0</v>
      </c>
    </row>
    <row s="9589" customFormat="1" customHeight="1" ht="0.75">
      <c r="A192" s="1950"/>
      <c r="B192" s="1950"/>
      <c r="C192" s="539" t="s">
        <v>1166</v>
      </c>
      <c r="D192" s="2632"/>
      <c r="E192" s="2374"/>
      <c r="F192" s="2553"/>
      <c r="G192" s="570"/>
      <c r="H192" s="1670"/>
      <c r="I192" s="821"/>
      <c r="J192" s="741"/>
      <c r="K192" s="1670"/>
      <c r="L192" s="384"/>
      <c r="M192" s="511"/>
      <c r="N192" s="504"/>
      <c r="O192" s="1794"/>
      <c r="P192" s="1794"/>
      <c r="AH192" s="1801">
        <v>0</v>
      </c>
    </row>
    <row s="9589" customFormat="1" customHeight="1" ht="18.75" hidden="1">
      <c r="A193" s="1950" t="s">
        <v>253</v>
      </c>
      <c r="B193" s="1950" t="s">
        <v>254</v>
      </c>
      <c r="C193" s="539"/>
      <c r="D193" s="2632"/>
      <c r="E193" s="2374"/>
      <c r="F193" s="2553" t="str">
        <f>INDEX(PT_DIFFERENTIATION_VTAR,MATCH(A193,PT_DIFFERENTIATION_VTAR_ID,0))</f>
        <v>Тариф на горячую воду (горячее водоснабжение)</v>
      </c>
      <c r="G193" s="2597" t="str">
        <f>INDEX(PT_DIFFERENTIATION_NTAR,MATCH(B193,PT_DIFFERENTIATION_NTAR_ID,0))</f>
        <v/>
      </c>
      <c r="H193" s="2032"/>
      <c r="I193" s="1909"/>
      <c r="J193" s="1943"/>
      <c r="K193" s="1948"/>
      <c r="L193" s="2032" t="s">
        <v>309</v>
      </c>
      <c r="M193" s="511"/>
      <c r="N193" s="504"/>
      <c r="O193" s="1794"/>
      <c r="P193" s="1794"/>
      <c r="AH193" s="1801">
        <v>0</v>
      </c>
    </row>
    <row s="9589" customFormat="1" customHeight="1" ht="18.75" hidden="1">
      <c r="A194" s="1950"/>
      <c r="B194" s="1950"/>
      <c r="C194" s="539" t="s">
        <v>1157</v>
      </c>
      <c r="D194" s="2632"/>
      <c r="E194" s="2374"/>
      <c r="F194" s="2553"/>
      <c r="G194" s="2597"/>
      <c r="H194" s="1670"/>
      <c r="I194" s="821" t="s">
        <v>1156</v>
      </c>
      <c r="J194" s="741"/>
      <c r="K194" s="1670"/>
      <c r="L194" s="384"/>
      <c r="M194" s="511"/>
      <c r="N194" s="504"/>
      <c r="O194" s="1794"/>
      <c r="P194" s="1794"/>
      <c r="AH194" s="1801">
        <v>0</v>
      </c>
    </row>
    <row s="9589" customFormat="1" customHeight="1" ht="0.75" hidden="1">
      <c r="A195" s="1950"/>
      <c r="B195" s="1950"/>
      <c r="C195" s="539" t="s">
        <v>1166</v>
      </c>
      <c r="D195" s="2632"/>
      <c r="E195" s="2374"/>
      <c r="F195" s="2553"/>
      <c r="G195" s="570"/>
      <c r="H195" s="1670"/>
      <c r="I195" s="821"/>
      <c r="J195" s="741"/>
      <c r="K195" s="1670"/>
      <c r="L195" s="384"/>
      <c r="M195" s="511"/>
      <c r="N195" s="504"/>
      <c r="O195" s="1794"/>
      <c r="P195" s="1794"/>
      <c r="AH195" s="1801">
        <v>0</v>
      </c>
    </row>
    <row s="9589" customFormat="1" customHeight="1" ht="18.75" hidden="1">
      <c r="A196" s="1950" t="s">
        <v>258</v>
      </c>
      <c r="B196" s="1950" t="s">
        <v>259</v>
      </c>
      <c r="C196" s="539"/>
      <c r="D196" s="2632"/>
      <c r="E196" s="2374"/>
      <c r="F196" s="2553" t="str">
        <f>INDEX(PT_DIFFERENTIATION_VTAR,MATCH(A196,PT_DIFFERENTIATION_VTAR_ID,0))</f>
        <v>Тариф на транспортировку горячей воды</v>
      </c>
      <c r="G196" s="2597" t="str">
        <f>INDEX(PT_DIFFERENTIATION_NTAR,MATCH(B196,PT_DIFFERENTIATION_NTAR_ID,0))</f>
        <v/>
      </c>
      <c r="H196" s="2032"/>
      <c r="I196" s="1909"/>
      <c r="J196" s="1943"/>
      <c r="K196" s="1948"/>
      <c r="L196" s="2032" t="s">
        <v>309</v>
      </c>
      <c r="M196" s="511"/>
      <c r="N196" s="504"/>
      <c r="O196" s="1794"/>
      <c r="P196" s="1794"/>
      <c r="AH196" s="1801">
        <v>0</v>
      </c>
    </row>
    <row s="9589" customFormat="1" customHeight="1" ht="18.75" hidden="1">
      <c r="A197" s="1950"/>
      <c r="B197" s="1950"/>
      <c r="C197" s="539" t="s">
        <v>1157</v>
      </c>
      <c r="D197" s="2632"/>
      <c r="E197" s="2374"/>
      <c r="F197" s="2553"/>
      <c r="G197" s="2597"/>
      <c r="H197" s="1670"/>
      <c r="I197" s="821" t="s">
        <v>1156</v>
      </c>
      <c r="J197" s="741"/>
      <c r="K197" s="1670"/>
      <c r="L197" s="384"/>
      <c r="M197" s="511"/>
      <c r="N197" s="504"/>
      <c r="O197" s="1794"/>
      <c r="P197" s="1794"/>
      <c r="AH197" s="1801">
        <v>0</v>
      </c>
    </row>
    <row s="9589" customFormat="1" customHeight="1" ht="0.75" hidden="1">
      <c r="A198" s="1950"/>
      <c r="B198" s="1950"/>
      <c r="C198" s="539" t="s">
        <v>1166</v>
      </c>
      <c r="D198" s="2632"/>
      <c r="E198" s="2374"/>
      <c r="F198" s="2553"/>
      <c r="G198" s="570"/>
      <c r="H198" s="1670"/>
      <c r="I198" s="821"/>
      <c r="J198" s="741"/>
      <c r="K198" s="1670"/>
      <c r="L198" s="384"/>
      <c r="M198" s="511"/>
      <c r="N198" s="504"/>
      <c r="O198" s="1794"/>
      <c r="P198" s="1794"/>
      <c r="AH198" s="1801">
        <v>0</v>
      </c>
    </row>
    <row s="9589" customFormat="1" customHeight="1" ht="18.75" hidden="1">
      <c r="A199" s="1950" t="s">
        <v>263</v>
      </c>
      <c r="B199" s="1950" t="s">
        <v>264</v>
      </c>
      <c r="C199" s="539"/>
      <c r="D199" s="2632"/>
      <c r="E199" s="2374"/>
      <c r="F199" s="255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597" t="str">
        <f>INDEX(PT_DIFFERENTIATION_NTAR,MATCH(B199,PT_DIFFERENTIATION_NTAR_ID,0))</f>
        <v/>
      </c>
      <c r="H199" s="2032"/>
      <c r="I199" s="1909"/>
      <c r="J199" s="1943"/>
      <c r="K199" s="1948"/>
      <c r="L199" s="2032" t="s">
        <v>309</v>
      </c>
      <c r="M199" s="511"/>
      <c r="N199" s="504"/>
      <c r="O199" s="1794"/>
      <c r="P199" s="1794"/>
      <c r="AH199" s="1801">
        <v>0</v>
      </c>
    </row>
    <row s="9589" customFormat="1" customHeight="1" ht="18.75" hidden="1">
      <c r="A200" s="1950"/>
      <c r="B200" s="1950"/>
      <c r="C200" s="539" t="s">
        <v>1157</v>
      </c>
      <c r="D200" s="2632"/>
      <c r="E200" s="2374"/>
      <c r="F200" s="2553"/>
      <c r="G200" s="2597"/>
      <c r="H200" s="1670"/>
      <c r="I200" s="821" t="s">
        <v>1156</v>
      </c>
      <c r="J200" s="741"/>
      <c r="K200" s="1670"/>
      <c r="L200" s="384"/>
      <c r="M200" s="511"/>
      <c r="N200" s="504"/>
      <c r="O200" s="1794"/>
      <c r="P200" s="1794"/>
      <c r="AH200" s="1801">
        <v>0</v>
      </c>
    </row>
    <row s="9589" customFormat="1" customHeight="1" ht="0.75" hidden="1">
      <c r="A201" s="1950"/>
      <c r="B201" s="1950"/>
      <c r="C201" s="539" t="s">
        <v>1166</v>
      </c>
      <c r="D201" s="2632"/>
      <c r="E201" s="2374"/>
      <c r="F201" s="2553"/>
      <c r="G201" s="570"/>
      <c r="H201" s="1670"/>
      <c r="I201" s="821"/>
      <c r="J201" s="741"/>
      <c r="K201" s="1670"/>
      <c r="L201" s="384"/>
      <c r="M201" s="511"/>
      <c r="N201" s="504"/>
      <c r="O201" s="1794"/>
      <c r="P201" s="1794"/>
      <c r="AH201" s="1801">
        <v>0</v>
      </c>
    </row>
    <row s="9589" customFormat="1" customHeight="1" ht="18.75" hidden="1">
      <c r="A202" s="1950" t="s">
        <v>268</v>
      </c>
      <c r="B202" s="1950" t="s">
        <v>269</v>
      </c>
      <c r="C202" s="539"/>
      <c r="D202" s="2632"/>
      <c r="E202" s="2374"/>
      <c r="F202" s="2553" t="str">
        <f>INDEX(PT_DIFFERENTIATION_VTAR,MATCH(A202,PT_DIFFERENTIATION_VTAR_ID,0))</f>
        <v>Тариф на водоотведение</v>
      </c>
      <c r="G202" s="2597" t="str">
        <f>INDEX(PT_DIFFERENTIATION_NTAR,MATCH(B202,PT_DIFFERENTIATION_NTAR_ID,0))</f>
        <v/>
      </c>
      <c r="H202" s="2032"/>
      <c r="I202" s="1909"/>
      <c r="J202" s="1943"/>
      <c r="K202" s="1948"/>
      <c r="L202" s="2032" t="s">
        <v>309</v>
      </c>
      <c r="M202" s="511"/>
      <c r="N202" s="504"/>
      <c r="O202" s="1794"/>
      <c r="P202" s="1794"/>
      <c r="AH202" s="1801">
        <v>0</v>
      </c>
    </row>
    <row s="9589" customFormat="1" customHeight="1" ht="18.75" hidden="1">
      <c r="A203" s="1950"/>
      <c r="B203" s="1950"/>
      <c r="C203" s="539" t="s">
        <v>1157</v>
      </c>
      <c r="D203" s="2632"/>
      <c r="E203" s="2374"/>
      <c r="F203" s="2553"/>
      <c r="G203" s="2597"/>
      <c r="H203" s="1670"/>
      <c r="I203" s="821" t="s">
        <v>1156</v>
      </c>
      <c r="J203" s="741"/>
      <c r="K203" s="1670"/>
      <c r="L203" s="384"/>
      <c r="M203" s="511"/>
      <c r="N203" s="504"/>
      <c r="O203" s="1794"/>
      <c r="P203" s="1794"/>
      <c r="AH203" s="1801">
        <v>0</v>
      </c>
    </row>
    <row s="9589" customFormat="1" customHeight="1" ht="0.75" hidden="1">
      <c r="A204" s="1950"/>
      <c r="B204" s="1950"/>
      <c r="C204" s="539" t="s">
        <v>1166</v>
      </c>
      <c r="D204" s="2632"/>
      <c r="E204" s="2374"/>
      <c r="F204" s="2553"/>
      <c r="G204" s="570"/>
      <c r="H204" s="1670"/>
      <c r="I204" s="821"/>
      <c r="J204" s="741"/>
      <c r="K204" s="1670"/>
      <c r="L204" s="384"/>
      <c r="M204" s="511"/>
      <c r="N204" s="504"/>
      <c r="O204" s="1794"/>
      <c r="P204" s="1794"/>
      <c r="AH204" s="1801">
        <v>0</v>
      </c>
    </row>
    <row s="9589" customFormat="1" customHeight="1" ht="18.75" hidden="1">
      <c r="A205" s="1950" t="s">
        <v>273</v>
      </c>
      <c r="B205" s="1950" t="s">
        <v>274</v>
      </c>
      <c r="C205" s="539"/>
      <c r="D205" s="2632"/>
      <c r="E205" s="2374"/>
      <c r="F205" s="2553" t="str">
        <f>INDEX(PT_DIFFERENTIATION_VTAR,MATCH(A205,PT_DIFFERENTIATION_VTAR_ID,0))</f>
        <v>Тариф на транспортировку сточных вод</v>
      </c>
      <c r="G205" s="2597" t="str">
        <f>INDEX(PT_DIFFERENTIATION_NTAR,MATCH(B205,PT_DIFFERENTIATION_NTAR_ID,0))</f>
        <v/>
      </c>
      <c r="H205" s="2032"/>
      <c r="I205" s="1909"/>
      <c r="J205" s="1943"/>
      <c r="K205" s="1948"/>
      <c r="L205" s="2032" t="s">
        <v>309</v>
      </c>
      <c r="M205" s="511"/>
      <c r="N205" s="504"/>
      <c r="O205" s="1794"/>
      <c r="P205" s="1794"/>
      <c r="AH205" s="1801">
        <v>0</v>
      </c>
    </row>
    <row s="9589" customFormat="1" customHeight="1" ht="18.75" hidden="1">
      <c r="A206" s="1950"/>
      <c r="B206" s="1950"/>
      <c r="C206" s="539" t="s">
        <v>1157</v>
      </c>
      <c r="D206" s="2632"/>
      <c r="E206" s="2374"/>
      <c r="F206" s="2553"/>
      <c r="G206" s="2597"/>
      <c r="H206" s="1670"/>
      <c r="I206" s="821" t="s">
        <v>1156</v>
      </c>
      <c r="J206" s="741"/>
      <c r="K206" s="1670"/>
      <c r="L206" s="384"/>
      <c r="M206" s="511"/>
      <c r="N206" s="504"/>
      <c r="O206" s="1794"/>
      <c r="P206" s="1794"/>
      <c r="AH206" s="1801">
        <v>0</v>
      </c>
    </row>
    <row s="9589" customFormat="1" customHeight="1" ht="0.75" hidden="1">
      <c r="A207" s="1950"/>
      <c r="B207" s="1950"/>
      <c r="C207" s="539" t="s">
        <v>1166</v>
      </c>
      <c r="D207" s="2632"/>
      <c r="E207" s="2374"/>
      <c r="F207" s="2553"/>
      <c r="G207" s="570"/>
      <c r="H207" s="1670"/>
      <c r="I207" s="821"/>
      <c r="J207" s="741"/>
      <c r="K207" s="1670"/>
      <c r="L207" s="384"/>
      <c r="M207" s="511"/>
      <c r="N207" s="504"/>
      <c r="O207" s="1794"/>
      <c r="P207" s="1794"/>
      <c r="AH207" s="1801">
        <v>0</v>
      </c>
    </row>
    <row s="9589" customFormat="1" customHeight="1" ht="18.75" hidden="1">
      <c r="A208" s="1950" t="s">
        <v>278</v>
      </c>
      <c r="B208" s="1950" t="s">
        <v>279</v>
      </c>
      <c r="C208" s="539"/>
      <c r="D208" s="2632"/>
      <c r="E208" s="2374"/>
      <c r="F208" s="2553" t="str">
        <f>INDEX(PT_DIFFERENTIATION_VTAR,MATCH(A208,PT_DIFFERENTIATION_VTAR_ID,0))</f>
        <v>Тариф на подключение (технологическое присоединение) к централизованной системе водоотведения</v>
      </c>
      <c r="G208" s="2597" t="str">
        <f>INDEX(PT_DIFFERENTIATION_NTAR,MATCH(B208,PT_DIFFERENTIATION_NTAR_ID,0))</f>
        <v/>
      </c>
      <c r="H208" s="2032"/>
      <c r="I208" s="1909"/>
      <c r="J208" s="1943"/>
      <c r="K208" s="1948"/>
      <c r="L208" s="2032" t="s">
        <v>309</v>
      </c>
      <c r="M208" s="511"/>
      <c r="N208" s="504"/>
      <c r="O208" s="1794"/>
      <c r="P208" s="1794"/>
      <c r="AH208" s="1801">
        <v>0</v>
      </c>
    </row>
    <row s="9589" customFormat="1" customHeight="1" ht="18.75" hidden="1">
      <c r="A209" s="1950"/>
      <c r="B209" s="1950"/>
      <c r="C209" s="539" t="s">
        <v>1157</v>
      </c>
      <c r="D209" s="2632"/>
      <c r="E209" s="2374"/>
      <c r="F209" s="2553"/>
      <c r="G209" s="2597"/>
      <c r="H209" s="1670"/>
      <c r="I209" s="821" t="s">
        <v>1156</v>
      </c>
      <c r="J209" s="741"/>
      <c r="K209" s="1670"/>
      <c r="L209" s="384"/>
      <c r="M209" s="511"/>
      <c r="N209" s="504"/>
      <c r="O209" s="1794"/>
      <c r="P209" s="1794"/>
      <c r="AH209" s="1801">
        <v>0</v>
      </c>
    </row>
    <row s="9589" customFormat="1" customHeight="1" ht="1.05">
      <c r="A210" s="1950"/>
      <c r="B210" s="1950"/>
      <c r="C210" s="539" t="s">
        <v>1166</v>
      </c>
      <c r="D210" s="2632"/>
      <c r="E210" s="2374"/>
      <c r="F210" s="2553"/>
      <c r="G210" s="570"/>
      <c r="H210" s="1670"/>
      <c r="I210" s="821"/>
      <c r="J210" s="741"/>
      <c r="K210" s="1670"/>
      <c r="L210" s="384"/>
      <c r="M210" s="511"/>
      <c r="N210" s="504"/>
      <c r="O210" s="1794"/>
      <c r="P210" s="1794"/>
      <c r="AH210" s="1801">
        <v>1</v>
      </c>
    </row>
    <row customHeight="1" ht="27.299999999999997">
      <c r="A211" s="1950"/>
      <c r="B211" s="1950"/>
      <c r="D211" s="546"/>
      <c r="E211" s="317" t="s">
        <v>110</v>
      </c>
      <c r="F211"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630"/>
      <c r="H211" s="2630"/>
      <c r="I211" s="2630"/>
      <c r="J211" s="2630"/>
      <c r="K211" s="2630"/>
      <c r="L211" s="2630"/>
      <c r="M211" s="467"/>
      <c r="N211" s="504"/>
      <c r="AH211" s="544">
        <v>26</v>
      </c>
    </row>
    <row s="9589" customFormat="1" customHeight="1" ht="60.75" hidden="1">
      <c r="A212" s="1950" t="s">
        <v>154</v>
      </c>
      <c r="B212" s="1950" t="s">
        <v>155</v>
      </c>
      <c r="C212" s="539"/>
      <c r="D212" s="2632"/>
      <c r="E212" s="2374"/>
      <c r="F212" s="255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597" t="str">
        <f>INDEX(PT_DIFFERENTIATION_NTAR,MATCH(B212,PT_DIFFERENTIATION_NTAR_ID,0))</f>
        <v/>
      </c>
      <c r="H212" s="2032"/>
      <c r="I212" s="1909"/>
      <c r="J212" s="1943"/>
      <c r="K212" s="1948"/>
      <c r="L212" s="2032" t="s">
        <v>309</v>
      </c>
      <c r="M212"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2" s="504"/>
      <c r="O212" s="1794"/>
      <c r="P212" s="1794"/>
      <c r="AH212" s="1801">
        <v>0</v>
      </c>
    </row>
    <row s="9589" customFormat="1" customHeight="1" ht="18.75" hidden="1">
      <c r="A213" s="1950"/>
      <c r="B213" s="1950"/>
      <c r="C213" s="539" t="s">
        <v>1157</v>
      </c>
      <c r="D213" s="2632"/>
      <c r="E213" s="2374"/>
      <c r="F213" s="2553"/>
      <c r="G213" s="2597"/>
      <c r="H213" s="1670"/>
      <c r="I213" s="821" t="s">
        <v>1156</v>
      </c>
      <c r="J213" s="741"/>
      <c r="K213" s="1670"/>
      <c r="L213" s="384"/>
      <c r="M213" s="2340"/>
      <c r="N213" s="504"/>
      <c r="O213" s="1794"/>
      <c r="P213" s="1794"/>
      <c r="AH213" s="1801">
        <v>0</v>
      </c>
    </row>
    <row s="9589" customFormat="1" customHeight="1" ht="0.75" hidden="1">
      <c r="A214" s="1950"/>
      <c r="B214" s="1950"/>
      <c r="C214" s="539" t="s">
        <v>1166</v>
      </c>
      <c r="D214" s="2632"/>
      <c r="E214" s="2374"/>
      <c r="F214" s="2553"/>
      <c r="G214" s="570"/>
      <c r="H214" s="1670"/>
      <c r="I214" s="821"/>
      <c r="J214" s="741"/>
      <c r="K214" s="1670"/>
      <c r="L214" s="384"/>
      <c r="M214" s="2340"/>
      <c r="N214" s="504"/>
      <c r="O214" s="1794"/>
      <c r="P214" s="1794"/>
      <c r="AH214" s="1801">
        <v>0</v>
      </c>
    </row>
    <row s="9589" customFormat="1" customHeight="1" ht="45" hidden="1">
      <c r="A215" s="1950" t="s">
        <v>159</v>
      </c>
      <c r="B215" s="1950" t="s">
        <v>160</v>
      </c>
      <c r="C215" s="539"/>
      <c r="D215" s="2632"/>
      <c r="E215" s="2374"/>
      <c r="F215" s="2553" t="str">
        <f>INDEX(PT_DIFFERENTIATION_VTAR,MATCH(A215,PT_DIFFERENTIATION_VTAR_ID,0))</f>
        <v/>
      </c>
      <c r="G215" s="2597" t="str">
        <f>INDEX(PT_DIFFERENTIATION_NTAR,MATCH(B215,PT_DIFFERENTIATION_NTAR_ID,0))</f>
        <v/>
      </c>
      <c r="H215" s="2032"/>
      <c r="I215" s="1909"/>
      <c r="J215" s="1943"/>
      <c r="K215" s="1948"/>
      <c r="L215" s="2032" t="s">
        <v>309</v>
      </c>
      <c r="M215" s="2341"/>
      <c r="N215" s="504"/>
      <c r="O215" s="1794"/>
      <c r="P215" s="1794"/>
      <c r="AH215" s="1801">
        <v>0</v>
      </c>
    </row>
    <row s="9589" customFormat="1" customHeight="1" ht="18.75" hidden="1">
      <c r="A216" s="1950"/>
      <c r="B216" s="1950"/>
      <c r="C216" s="539" t="s">
        <v>1157</v>
      </c>
      <c r="D216" s="2632"/>
      <c r="E216" s="2374"/>
      <c r="F216" s="2553"/>
      <c r="G216" s="2597"/>
      <c r="H216" s="1670"/>
      <c r="I216" s="821" t="s">
        <v>1156</v>
      </c>
      <c r="J216" s="741"/>
      <c r="K216" s="1670"/>
      <c r="L216" s="384"/>
      <c r="M216" s="2031"/>
      <c r="N216" s="504"/>
      <c r="O216" s="1794"/>
      <c r="P216" s="1794"/>
      <c r="AH216" s="1801">
        <v>0</v>
      </c>
    </row>
    <row s="9589" customFormat="1" customHeight="1" ht="0.75" hidden="1">
      <c r="A217" s="1950"/>
      <c r="B217" s="1950"/>
      <c r="C217" s="539" t="s">
        <v>1166</v>
      </c>
      <c r="D217" s="2632"/>
      <c r="E217" s="2374"/>
      <c r="F217" s="2553"/>
      <c r="G217" s="570"/>
      <c r="H217" s="1670"/>
      <c r="I217" s="821"/>
      <c r="J217" s="741"/>
      <c r="K217" s="1670"/>
      <c r="L217" s="384"/>
      <c r="M217" s="511"/>
      <c r="N217" s="504"/>
      <c r="O217" s="1794"/>
      <c r="P217" s="1794"/>
      <c r="AH217" s="1801">
        <v>0</v>
      </c>
    </row>
    <row s="9589" customFormat="1" customHeight="1" ht="45" hidden="1">
      <c r="A218" s="1950" t="s">
        <v>166</v>
      </c>
      <c r="B218" s="1950" t="s">
        <v>167</v>
      </c>
      <c r="C218" s="539"/>
      <c r="D218" s="2632"/>
      <c r="E218" s="2374"/>
      <c r="F218" s="255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597" t="str">
        <f>INDEX(PT_DIFFERENTIATION_NTAR,MATCH(B218,PT_DIFFERENTIATION_NTAR_ID,0))</f>
        <v/>
      </c>
      <c r="H218" s="2032"/>
      <c r="I218" s="1909"/>
      <c r="J218" s="1943"/>
      <c r="K218" s="1948"/>
      <c r="L218" s="2032" t="s">
        <v>309</v>
      </c>
      <c r="M218" s="511"/>
      <c r="N218" s="504"/>
      <c r="O218" s="1794"/>
      <c r="P218" s="1794"/>
      <c r="AH218" s="1801">
        <v>0</v>
      </c>
    </row>
    <row s="9589" customFormat="1" customHeight="1" ht="18.75" hidden="1">
      <c r="A219" s="1950"/>
      <c r="B219" s="1950"/>
      <c r="C219" s="539" t="s">
        <v>1157</v>
      </c>
      <c r="D219" s="2632"/>
      <c r="E219" s="2374"/>
      <c r="F219" s="2553"/>
      <c r="G219" s="2597"/>
      <c r="H219" s="1670"/>
      <c r="I219" s="821" t="s">
        <v>1156</v>
      </c>
      <c r="J219" s="741"/>
      <c r="K219" s="1670"/>
      <c r="L219" s="384"/>
      <c r="M219" s="511"/>
      <c r="N219" s="504"/>
      <c r="O219" s="1794"/>
      <c r="P219" s="1794"/>
      <c r="AH219" s="1801">
        <v>0</v>
      </c>
    </row>
    <row s="9589" customFormat="1" customHeight="1" ht="0.75" hidden="1">
      <c r="A220" s="1950"/>
      <c r="B220" s="1950"/>
      <c r="C220" s="539" t="s">
        <v>1166</v>
      </c>
      <c r="D220" s="2632"/>
      <c r="E220" s="2374"/>
      <c r="F220" s="2553"/>
      <c r="G220" s="570"/>
      <c r="H220" s="1670"/>
      <c r="I220" s="821"/>
      <c r="J220" s="741"/>
      <c r="K220" s="1670"/>
      <c r="L220" s="384"/>
      <c r="M220" s="511"/>
      <c r="N220" s="504"/>
      <c r="O220" s="1794"/>
      <c r="P220" s="1794"/>
      <c r="AH220" s="1801">
        <v>0</v>
      </c>
    </row>
    <row s="9589" customFormat="1" customHeight="1" ht="45" hidden="1">
      <c r="A221" s="1950" t="s">
        <v>172</v>
      </c>
      <c r="B221" s="1950" t="s">
        <v>173</v>
      </c>
      <c r="C221" s="539"/>
      <c r="D221" s="2632"/>
      <c r="E221" s="2374"/>
      <c r="F221" s="255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597" t="str">
        <f>INDEX(PT_DIFFERENTIATION_NTAR,MATCH(B221,PT_DIFFERENTIATION_NTAR_ID,0))</f>
        <v/>
      </c>
      <c r="H221" s="2032"/>
      <c r="I221" s="1909"/>
      <c r="J221" s="1943"/>
      <c r="K221" s="1948"/>
      <c r="L221" s="2032" t="s">
        <v>309</v>
      </c>
      <c r="M221" s="511"/>
      <c r="N221" s="504"/>
      <c r="O221" s="1794"/>
      <c r="P221" s="1794"/>
      <c r="AH221" s="1801">
        <v>0</v>
      </c>
    </row>
    <row s="9589" customFormat="1" customHeight="1" ht="18.75" hidden="1">
      <c r="A222" s="1950"/>
      <c r="B222" s="1950"/>
      <c r="C222" s="539" t="s">
        <v>1157</v>
      </c>
      <c r="D222" s="2632"/>
      <c r="E222" s="2374"/>
      <c r="F222" s="2553"/>
      <c r="G222" s="2597"/>
      <c r="H222" s="1670"/>
      <c r="I222" s="821" t="s">
        <v>1156</v>
      </c>
      <c r="J222" s="741"/>
      <c r="K222" s="1670"/>
      <c r="L222" s="384"/>
      <c r="M222" s="511"/>
      <c r="N222" s="504"/>
      <c r="O222" s="1794"/>
      <c r="P222" s="1794"/>
      <c r="AH222" s="1801">
        <v>0</v>
      </c>
    </row>
    <row s="9589" customFormat="1" customHeight="1" ht="0.75" hidden="1">
      <c r="A223" s="1950"/>
      <c r="B223" s="1950"/>
      <c r="C223" s="539" t="s">
        <v>1166</v>
      </c>
      <c r="D223" s="2632"/>
      <c r="E223" s="2374"/>
      <c r="F223" s="2553"/>
      <c r="G223" s="570"/>
      <c r="H223" s="1670"/>
      <c r="I223" s="821"/>
      <c r="J223" s="741"/>
      <c r="K223" s="1670"/>
      <c r="L223" s="384"/>
      <c r="M223" s="511"/>
      <c r="N223" s="504"/>
      <c r="O223" s="1794"/>
      <c r="P223" s="1794"/>
      <c r="AH223" s="1801">
        <v>0</v>
      </c>
    </row>
    <row s="9589" customFormat="1" customHeight="1" ht="18.75" hidden="1">
      <c r="A224" s="1950" t="s">
        <v>178</v>
      </c>
      <c r="B224" s="1950" t="s">
        <v>179</v>
      </c>
      <c r="C224" s="539"/>
      <c r="D224" s="2632"/>
      <c r="E224" s="2374"/>
      <c r="F224" s="2553" t="str">
        <f>INDEX(PT_DIFFERENTIATION_VTAR,MATCH(A224,PT_DIFFERENTIATION_VTAR_ID,0))</f>
        <v>Тарифы на услуги по передаче тепловой энергии</v>
      </c>
      <c r="G224" s="2597" t="str">
        <f>INDEX(PT_DIFFERENTIATION_NTAR,MATCH(B224,PT_DIFFERENTIATION_NTAR_ID,0))</f>
        <v/>
      </c>
      <c r="H224" s="2032"/>
      <c r="I224" s="1909"/>
      <c r="J224" s="1943"/>
      <c r="K224" s="1948"/>
      <c r="L224" s="2032" t="s">
        <v>309</v>
      </c>
      <c r="M224" s="511"/>
      <c r="N224" s="504"/>
      <c r="O224" s="1794"/>
      <c r="P224" s="1794"/>
      <c r="AH224" s="1801">
        <v>0</v>
      </c>
    </row>
    <row s="9589" customFormat="1" customHeight="1" ht="18.75" hidden="1">
      <c r="A225" s="1950"/>
      <c r="B225" s="1950"/>
      <c r="C225" s="539" t="s">
        <v>1157</v>
      </c>
      <c r="D225" s="2632"/>
      <c r="E225" s="2374"/>
      <c r="F225" s="2553"/>
      <c r="G225" s="2597"/>
      <c r="H225" s="1670"/>
      <c r="I225" s="821" t="s">
        <v>1156</v>
      </c>
      <c r="J225" s="741"/>
      <c r="K225" s="1670"/>
      <c r="L225" s="384"/>
      <c r="M225" s="511"/>
      <c r="N225" s="504"/>
      <c r="O225" s="1794"/>
      <c r="P225" s="1794"/>
      <c r="AH225" s="1801">
        <v>0</v>
      </c>
    </row>
    <row s="9589" customFormat="1" customHeight="1" ht="0.75" hidden="1">
      <c r="A226" s="1950"/>
      <c r="B226" s="1950"/>
      <c r="C226" s="539" t="s">
        <v>1166</v>
      </c>
      <c r="D226" s="2632"/>
      <c r="E226" s="2374"/>
      <c r="F226" s="2553"/>
      <c r="G226" s="570"/>
      <c r="H226" s="1670"/>
      <c r="I226" s="821"/>
      <c r="J226" s="741"/>
      <c r="K226" s="1670"/>
      <c r="L226" s="384"/>
      <c r="M226" s="511"/>
      <c r="N226" s="504"/>
      <c r="O226" s="1794"/>
      <c r="P226" s="1794"/>
      <c r="AH226" s="1801">
        <v>0</v>
      </c>
    </row>
    <row s="9589" customFormat="1" customHeight="1" ht="18.75" hidden="1">
      <c r="A227" s="1950" t="s">
        <v>184</v>
      </c>
      <c r="B227" s="1950" t="s">
        <v>185</v>
      </c>
      <c r="C227" s="539"/>
      <c r="D227" s="2632"/>
      <c r="E227" s="2374"/>
      <c r="F227" s="2553" t="str">
        <f>INDEX(PT_DIFFERENTIATION_VTAR,MATCH(A227,PT_DIFFERENTIATION_VTAR_ID,0))</f>
        <v>Тарифы на услуги по передаче теплоносителя</v>
      </c>
      <c r="G227" s="2597" t="str">
        <f>INDEX(PT_DIFFERENTIATION_NTAR,MATCH(B227,PT_DIFFERENTIATION_NTAR_ID,0))</f>
        <v/>
      </c>
      <c r="H227" s="2032"/>
      <c r="I227" s="1909"/>
      <c r="J227" s="1943"/>
      <c r="K227" s="1948"/>
      <c r="L227" s="2032" t="s">
        <v>309</v>
      </c>
      <c r="M227" s="511"/>
      <c r="N227" s="504"/>
      <c r="O227" s="1794"/>
      <c r="P227" s="1794"/>
      <c r="AH227" s="1801">
        <v>0</v>
      </c>
    </row>
    <row s="9589" customFormat="1" customHeight="1" ht="18.75" hidden="1">
      <c r="A228" s="1950"/>
      <c r="B228" s="1950"/>
      <c r="C228" s="539" t="s">
        <v>1157</v>
      </c>
      <c r="D228" s="2632"/>
      <c r="E228" s="2374"/>
      <c r="F228" s="2553"/>
      <c r="G228" s="2597"/>
      <c r="H228" s="1670"/>
      <c r="I228" s="821" t="s">
        <v>1156</v>
      </c>
      <c r="J228" s="741"/>
      <c r="K228" s="1670"/>
      <c r="L228" s="384"/>
      <c r="M228" s="511"/>
      <c r="N228" s="504"/>
      <c r="O228" s="1794"/>
      <c r="P228" s="1794"/>
      <c r="AH228" s="1801">
        <v>0</v>
      </c>
    </row>
    <row s="9589" customFormat="1" customHeight="1" ht="0.75" hidden="1">
      <c r="A229" s="1950"/>
      <c r="B229" s="1950"/>
      <c r="C229" s="539" t="s">
        <v>1166</v>
      </c>
      <c r="D229" s="2632"/>
      <c r="E229" s="2374"/>
      <c r="F229" s="2553"/>
      <c r="G229" s="570"/>
      <c r="H229" s="1670"/>
      <c r="I229" s="821"/>
      <c r="J229" s="741"/>
      <c r="K229" s="1670"/>
      <c r="L229" s="384"/>
      <c r="M229" s="511"/>
      <c r="N229" s="504"/>
      <c r="O229" s="1794"/>
      <c r="P229" s="1794"/>
      <c r="AH229" s="1801">
        <v>0</v>
      </c>
    </row>
    <row s="9589" customFormat="1" customHeight="1" ht="18.75" hidden="1">
      <c r="A230" s="1950" t="s">
        <v>190</v>
      </c>
      <c r="B230" s="1950" t="s">
        <v>191</v>
      </c>
      <c r="C230" s="539"/>
      <c r="D230" s="2632"/>
      <c r="E230" s="2374"/>
      <c r="F230" s="255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597" t="str">
        <f>INDEX(PT_DIFFERENTIATION_NTAR,MATCH(B230,PT_DIFFERENTIATION_NTAR_ID,0))</f>
        <v/>
      </c>
      <c r="H230" s="2032"/>
      <c r="I230" s="1909"/>
      <c r="J230" s="1943"/>
      <c r="K230" s="1948"/>
      <c r="L230" s="2032" t="s">
        <v>309</v>
      </c>
      <c r="M230" s="511"/>
      <c r="N230" s="504"/>
      <c r="O230" s="1794"/>
      <c r="P230" s="1794"/>
      <c r="AH230" s="1801">
        <v>0</v>
      </c>
    </row>
    <row s="9589" customFormat="1" customHeight="1" ht="18.75" hidden="1">
      <c r="A231" s="1950"/>
      <c r="B231" s="1950"/>
      <c r="C231" s="539" t="s">
        <v>1157</v>
      </c>
      <c r="D231" s="2632"/>
      <c r="E231" s="2374"/>
      <c r="F231" s="2553"/>
      <c r="G231" s="2597"/>
      <c r="H231" s="1670"/>
      <c r="I231" s="821" t="s">
        <v>1156</v>
      </c>
      <c r="J231" s="741"/>
      <c r="K231" s="1670"/>
      <c r="L231" s="384"/>
      <c r="M231" s="511"/>
      <c r="N231" s="504"/>
      <c r="O231" s="1794"/>
      <c r="P231" s="1794"/>
      <c r="AH231" s="1801">
        <v>0</v>
      </c>
    </row>
    <row s="9589" customFormat="1" customHeight="1" ht="0.75" hidden="1">
      <c r="A232" s="1950"/>
      <c r="B232" s="1950"/>
      <c r="C232" s="539" t="s">
        <v>1166</v>
      </c>
      <c r="D232" s="2632"/>
      <c r="E232" s="2374"/>
      <c r="F232" s="2553"/>
      <c r="G232" s="570"/>
      <c r="H232" s="1670"/>
      <c r="I232" s="821"/>
      <c r="J232" s="741"/>
      <c r="K232" s="1670"/>
      <c r="L232" s="384"/>
      <c r="M232" s="511"/>
      <c r="N232" s="504"/>
      <c r="O232" s="1794"/>
      <c r="P232" s="1794"/>
      <c r="AH232" s="1801">
        <v>0</v>
      </c>
    </row>
    <row s="9589" customFormat="1" customHeight="1" ht="18.75" hidden="1">
      <c r="A233" s="1950" t="s">
        <v>196</v>
      </c>
      <c r="B233" s="1950" t="s">
        <v>197</v>
      </c>
      <c r="C233" s="539"/>
      <c r="D233" s="2632"/>
      <c r="E233" s="2374"/>
      <c r="F233" s="2553" t="str">
        <f>INDEX(PT_DIFFERENTIATION_VTAR,MATCH(A233,PT_DIFFERENTIATION_VTAR_ID,0))</f>
        <v>Плата за подключение (технологическое присоединение) к системе теплоснабжения</v>
      </c>
      <c r="G233" s="2597" t="str">
        <f>INDEX(PT_DIFFERENTIATION_NTAR,MATCH(B233,PT_DIFFERENTIATION_NTAR_ID,0))</f>
        <v/>
      </c>
      <c r="H233" s="2032"/>
      <c r="I233" s="1909"/>
      <c r="J233" s="1943"/>
      <c r="K233" s="1948"/>
      <c r="L233" s="2032" t="s">
        <v>309</v>
      </c>
      <c r="M233" s="511"/>
      <c r="N233" s="504"/>
      <c r="O233" s="1794"/>
      <c r="P233" s="1794"/>
      <c r="AH233" s="1801">
        <v>0</v>
      </c>
    </row>
    <row s="9589" customFormat="1" customHeight="1" ht="18.75" hidden="1">
      <c r="A234" s="1950"/>
      <c r="B234" s="1950"/>
      <c r="C234" s="539" t="s">
        <v>1157</v>
      </c>
      <c r="D234" s="2632"/>
      <c r="E234" s="2374"/>
      <c r="F234" s="2553"/>
      <c r="G234" s="2597"/>
      <c r="H234" s="1670"/>
      <c r="I234" s="821" t="s">
        <v>1156</v>
      </c>
      <c r="J234" s="741"/>
      <c r="K234" s="1670"/>
      <c r="L234" s="384"/>
      <c r="M234" s="511"/>
      <c r="N234" s="504"/>
      <c r="O234" s="1794"/>
      <c r="P234" s="1794"/>
      <c r="AH234" s="1801">
        <v>0</v>
      </c>
    </row>
    <row s="9589" customFormat="1" customHeight="1" ht="0.75" hidden="1">
      <c r="A235" s="1950"/>
      <c r="B235" s="1950"/>
      <c r="C235" s="539" t="s">
        <v>1166</v>
      </c>
      <c r="D235" s="2632"/>
      <c r="E235" s="2374"/>
      <c r="F235" s="2553"/>
      <c r="G235" s="570"/>
      <c r="H235" s="1670"/>
      <c r="I235" s="821"/>
      <c r="J235" s="741"/>
      <c r="K235" s="1670"/>
      <c r="L235" s="384"/>
      <c r="M235" s="511"/>
      <c r="N235" s="504"/>
      <c r="O235" s="1794"/>
      <c r="P235" s="1794"/>
      <c r="AH235" s="1801">
        <v>0</v>
      </c>
    </row>
    <row s="9589" customFormat="1" customHeight="1" ht="18.75" hidden="1">
      <c r="A236" s="1950" t="s">
        <v>202</v>
      </c>
      <c r="B236" s="1950" t="s">
        <v>203</v>
      </c>
      <c r="C236" s="539"/>
      <c r="D236" s="2632"/>
      <c r="E236" s="2374"/>
      <c r="F236" s="2553" t="str">
        <f>INDEX(PT_DIFFERENTIATION_VTAR,MATCH(A236,PT_DIFFERENTIATION_VTAR_ID,0))</f>
        <v>Плата за подключение (технологическое присоединение) к системе теплоснабжения (индивидуальная)</v>
      </c>
      <c r="G236" s="2597" t="str">
        <f>INDEX(PT_DIFFERENTIATION_NTAR,MATCH(B236,PT_DIFFERENTIATION_NTAR_ID,0))</f>
        <v/>
      </c>
      <c r="H236" s="2159"/>
      <c r="I236" s="1909"/>
      <c r="J236" s="1943"/>
      <c r="K236" s="1948"/>
      <c r="L236" s="2159" t="s">
        <v>309</v>
      </c>
      <c r="M236" s="511"/>
      <c r="N236" s="504"/>
      <c r="O236" s="1794"/>
      <c r="P236" s="1794"/>
      <c r="AH236" s="1801">
        <v>0</v>
      </c>
    </row>
    <row s="9589" customFormat="1" customHeight="1" ht="18.75" hidden="1">
      <c r="A237" s="1950"/>
      <c r="B237" s="1950"/>
      <c r="C237" s="539" t="s">
        <v>1157</v>
      </c>
      <c r="D237" s="2632"/>
      <c r="E237" s="2374"/>
      <c r="F237" s="2553"/>
      <c r="G237" s="2597"/>
      <c r="H237" s="1670"/>
      <c r="I237" s="821" t="s">
        <v>1156</v>
      </c>
      <c r="J237" s="741"/>
      <c r="K237" s="1670"/>
      <c r="L237" s="384"/>
      <c r="M237" s="511"/>
      <c r="N237" s="504"/>
      <c r="O237" s="1794"/>
      <c r="P237" s="1794"/>
      <c r="AH237" s="1801">
        <v>0</v>
      </c>
    </row>
    <row s="9589" customFormat="1" customHeight="1" ht="0.75" hidden="1">
      <c r="A238" s="1950"/>
      <c r="B238" s="1950"/>
      <c r="C238" s="539" t="s">
        <v>1166</v>
      </c>
      <c r="D238" s="2632"/>
      <c r="E238" s="2374"/>
      <c r="F238" s="2553"/>
      <c r="G238" s="570"/>
      <c r="H238" s="1670"/>
      <c r="I238" s="821"/>
      <c r="J238" s="741"/>
      <c r="K238" s="1670"/>
      <c r="L238" s="384"/>
      <c r="M238" s="511"/>
      <c r="N238" s="504"/>
      <c r="O238" s="1794"/>
      <c r="P238" s="1794"/>
      <c r="AH238" s="1801">
        <v>0</v>
      </c>
    </row>
    <row s="9589" customFormat="1" customHeight="1" ht="18.75">
      <c r="A239" s="1950" t="s">
        <v>224</v>
      </c>
      <c r="B239" s="1950" t="s">
        <v>225</v>
      </c>
      <c r="C239" s="539"/>
      <c r="D239" s="2632"/>
      <c r="E239" s="2374"/>
      <c r="F239" s="2553" t="str">
        <f>INDEX(PT_DIFFERENTIATION_VTAR,MATCH(A239,PT_DIFFERENTIATION_VTAR_ID,0))</f>
        <v>Тариф на питьевую воду (питьевое водоснабжение)</v>
      </c>
      <c r="G239" s="2597" t="str">
        <f>INDEX(PT_DIFFERENTIATION_NTAR,MATCH(B239,PT_DIFFERENTIATION_NTAR_ID,0))</f>
        <v>Холодное водоснабжение. Питьевая вода</v>
      </c>
      <c r="H239" s="2032"/>
      <c r="I239" s="8778">
        <v>45474.41559027778</v>
      </c>
      <c r="J239" s="8773">
        <v>45838.415671296294</v>
      </c>
      <c r="K239" s="1948">
        <v>7125.92</v>
      </c>
      <c r="L239" s="2032" t="s">
        <v>309</v>
      </c>
      <c r="M239" s="511"/>
      <c r="N239" s="504"/>
      <c r="O239" s="1794"/>
      <c r="P239" s="1794"/>
      <c r="AH239" s="1801">
        <v>0</v>
      </c>
    </row>
    <row s="9589" customFormat="1" customHeight="1" ht="18.75">
      <c r="A240" s="1950"/>
      <c r="B240" s="1950"/>
      <c r="C240" s="539" t="s">
        <v>1157</v>
      </c>
      <c r="D240" s="2632"/>
      <c r="E240" s="2374"/>
      <c r="F240" s="2553"/>
      <c r="G240" s="2597"/>
      <c r="H240" s="1670"/>
      <c r="I240" s="821" t="s">
        <v>1156</v>
      </c>
      <c r="J240" s="741"/>
      <c r="K240" s="1670"/>
      <c r="L240" s="384"/>
      <c r="M240" s="511"/>
      <c r="N240" s="504"/>
      <c r="O240" s="1794"/>
      <c r="P240" s="1794"/>
      <c r="AH240" s="1801">
        <v>0</v>
      </c>
    </row>
    <row s="9589" customFormat="1" customHeight="1" ht="0.75">
      <c r="A241" s="1950"/>
      <c r="B241" s="1950"/>
      <c r="C241" s="539" t="s">
        <v>1166</v>
      </c>
      <c r="D241" s="2632"/>
      <c r="E241" s="2374"/>
      <c r="F241" s="2553"/>
      <c r="G241" s="570"/>
      <c r="H241" s="1670"/>
      <c r="I241" s="821"/>
      <c r="J241" s="741"/>
      <c r="K241" s="1670"/>
      <c r="L241" s="384"/>
      <c r="M241" s="511"/>
      <c r="N241" s="504"/>
      <c r="O241" s="1794"/>
      <c r="P241" s="1794"/>
      <c r="AH241" s="1801">
        <v>0</v>
      </c>
    </row>
    <row s="9589" customFormat="1" customHeight="1" ht="18.75" hidden="1">
      <c r="A242" s="1950" t="s">
        <v>232</v>
      </c>
      <c r="B242" s="1950" t="s">
        <v>233</v>
      </c>
      <c r="C242" s="539"/>
      <c r="D242" s="2632"/>
      <c r="E242" s="2374"/>
      <c r="F242" s="2553" t="str">
        <f>INDEX(PT_DIFFERENTIATION_VTAR,MATCH(A242,PT_DIFFERENTIATION_VTAR_ID,0))</f>
        <v>Тариф на техническую воду</v>
      </c>
      <c r="G242" s="2597" t="str">
        <f>INDEX(PT_DIFFERENTIATION_NTAR,MATCH(B242,PT_DIFFERENTIATION_NTAR_ID,0))</f>
        <v/>
      </c>
      <c r="H242" s="2032"/>
      <c r="I242" s="1909"/>
      <c r="J242" s="1943"/>
      <c r="K242" s="1948"/>
      <c r="L242" s="2032" t="s">
        <v>309</v>
      </c>
      <c r="M242" s="511"/>
      <c r="N242" s="504"/>
      <c r="O242" s="1794"/>
      <c r="P242" s="1794"/>
      <c r="AH242" s="1801">
        <v>0</v>
      </c>
    </row>
    <row s="9589" customFormat="1" customHeight="1" ht="18.75" hidden="1">
      <c r="A243" s="1950"/>
      <c r="B243" s="1950"/>
      <c r="C243" s="539" t="s">
        <v>1157</v>
      </c>
      <c r="D243" s="2632"/>
      <c r="E243" s="2374"/>
      <c r="F243" s="2553"/>
      <c r="G243" s="2597"/>
      <c r="H243" s="1670"/>
      <c r="I243" s="821" t="s">
        <v>1156</v>
      </c>
      <c r="J243" s="741"/>
      <c r="K243" s="1670"/>
      <c r="L243" s="384"/>
      <c r="M243" s="511"/>
      <c r="N243" s="504"/>
      <c r="O243" s="1794"/>
      <c r="P243" s="1794"/>
      <c r="AH243" s="1801">
        <v>0</v>
      </c>
    </row>
    <row s="9589" customFormat="1" customHeight="1" ht="0.75" hidden="1">
      <c r="A244" s="1950"/>
      <c r="B244" s="1950"/>
      <c r="C244" s="539" t="s">
        <v>1166</v>
      </c>
      <c r="D244" s="2632"/>
      <c r="E244" s="2374"/>
      <c r="F244" s="2553"/>
      <c r="G244" s="570"/>
      <c r="H244" s="1670"/>
      <c r="I244" s="821"/>
      <c r="J244" s="741"/>
      <c r="K244" s="1670"/>
      <c r="L244" s="384"/>
      <c r="M244" s="511"/>
      <c r="N244" s="504"/>
      <c r="O244" s="1794"/>
      <c r="P244" s="1794"/>
      <c r="AH244" s="1801">
        <v>0</v>
      </c>
    </row>
    <row s="9589" customFormat="1" customHeight="1" ht="18.75" hidden="1">
      <c r="A245" s="1950" t="s">
        <v>237</v>
      </c>
      <c r="B245" s="1950" t="s">
        <v>238</v>
      </c>
      <c r="C245" s="539"/>
      <c r="D245" s="2632"/>
      <c r="E245" s="2374"/>
      <c r="F245" s="2553" t="str">
        <f>INDEX(PT_DIFFERENTIATION_VTAR,MATCH(A245,PT_DIFFERENTIATION_VTAR_ID,0))</f>
        <v>Тариф на транспортировку воды</v>
      </c>
      <c r="G245" s="2597" t="str">
        <f>INDEX(PT_DIFFERENTIATION_NTAR,MATCH(B245,PT_DIFFERENTIATION_NTAR_ID,0))</f>
        <v/>
      </c>
      <c r="H245" s="2032"/>
      <c r="I245" s="1909"/>
      <c r="J245" s="1943"/>
      <c r="K245" s="1948"/>
      <c r="L245" s="2032" t="s">
        <v>309</v>
      </c>
      <c r="M245" s="511"/>
      <c r="N245" s="504"/>
      <c r="O245" s="1794"/>
      <c r="P245" s="1794"/>
      <c r="AH245" s="1801">
        <v>0</v>
      </c>
    </row>
    <row s="9589" customFormat="1" customHeight="1" ht="18.75" hidden="1">
      <c r="A246" s="1950"/>
      <c r="B246" s="1950"/>
      <c r="C246" s="539" t="s">
        <v>1157</v>
      </c>
      <c r="D246" s="2632"/>
      <c r="E246" s="2374"/>
      <c r="F246" s="2553"/>
      <c r="G246" s="2597"/>
      <c r="H246" s="1670"/>
      <c r="I246" s="821" t="s">
        <v>1156</v>
      </c>
      <c r="J246" s="741"/>
      <c r="K246" s="1670"/>
      <c r="L246" s="384"/>
      <c r="M246" s="511"/>
      <c r="N246" s="504"/>
      <c r="O246" s="1794"/>
      <c r="P246" s="1794"/>
      <c r="AH246" s="1801">
        <v>0</v>
      </c>
    </row>
    <row s="9589" customFormat="1" customHeight="1" ht="0.75" hidden="1">
      <c r="A247" s="1950"/>
      <c r="B247" s="1950"/>
      <c r="C247" s="539" t="s">
        <v>1166</v>
      </c>
      <c r="D247" s="2632"/>
      <c r="E247" s="2374"/>
      <c r="F247" s="2553"/>
      <c r="G247" s="570"/>
      <c r="H247" s="1670"/>
      <c r="I247" s="821"/>
      <c r="J247" s="741"/>
      <c r="K247" s="1670"/>
      <c r="L247" s="384"/>
      <c r="M247" s="511"/>
      <c r="N247" s="504"/>
      <c r="O247" s="1794"/>
      <c r="P247" s="1794"/>
      <c r="AH247" s="1801">
        <v>0</v>
      </c>
    </row>
    <row s="9589" customFormat="1" customHeight="1" ht="18.75" hidden="1">
      <c r="A248" s="1950" t="s">
        <v>242</v>
      </c>
      <c r="B248" s="1950" t="s">
        <v>243</v>
      </c>
      <c r="C248" s="539"/>
      <c r="D248" s="2632"/>
      <c r="E248" s="2374"/>
      <c r="F248" s="2553" t="str">
        <f>INDEX(PT_DIFFERENTIATION_VTAR,MATCH(A248,PT_DIFFERENTIATION_VTAR_ID,0))</f>
        <v>Тариф на подвоз воды</v>
      </c>
      <c r="G248" s="2597" t="str">
        <f>INDEX(PT_DIFFERENTIATION_NTAR,MATCH(B248,PT_DIFFERENTIATION_NTAR_ID,0))</f>
        <v/>
      </c>
      <c r="H248" s="2032"/>
      <c r="I248" s="1909"/>
      <c r="J248" s="1943"/>
      <c r="K248" s="1948"/>
      <c r="L248" s="2032" t="s">
        <v>309</v>
      </c>
      <c r="M248" s="511"/>
      <c r="N248" s="504"/>
      <c r="O248" s="1794"/>
      <c r="P248" s="1794"/>
      <c r="AH248" s="1801">
        <v>0</v>
      </c>
    </row>
    <row s="9589" customFormat="1" customHeight="1" ht="18.75" hidden="1">
      <c r="A249" s="1950"/>
      <c r="B249" s="1950"/>
      <c r="C249" s="539" t="s">
        <v>1157</v>
      </c>
      <c r="D249" s="2632"/>
      <c r="E249" s="2374"/>
      <c r="F249" s="2553"/>
      <c r="G249" s="2597"/>
      <c r="H249" s="1670"/>
      <c r="I249" s="821" t="s">
        <v>1156</v>
      </c>
      <c r="J249" s="741"/>
      <c r="K249" s="1670"/>
      <c r="L249" s="384"/>
      <c r="M249" s="511"/>
      <c r="N249" s="504"/>
      <c r="O249" s="1794"/>
      <c r="P249" s="1794"/>
      <c r="AH249" s="1801">
        <v>0</v>
      </c>
    </row>
    <row s="9589" customFormat="1" customHeight="1" ht="0.75" hidden="1">
      <c r="A250" s="1950"/>
      <c r="B250" s="1950"/>
      <c r="C250" s="539" t="s">
        <v>1166</v>
      </c>
      <c r="D250" s="2632"/>
      <c r="E250" s="2374"/>
      <c r="F250" s="2553"/>
      <c r="G250" s="570"/>
      <c r="H250" s="1670"/>
      <c r="I250" s="821"/>
      <c r="J250" s="741"/>
      <c r="K250" s="1670"/>
      <c r="L250" s="384"/>
      <c r="M250" s="511"/>
      <c r="N250" s="504"/>
      <c r="O250" s="1794"/>
      <c r="P250" s="1794"/>
      <c r="AH250" s="1801">
        <v>0</v>
      </c>
    </row>
    <row s="9589" customFormat="1" customHeight="1" ht="18.75">
      <c r="A251" s="1950" t="s">
        <v>248</v>
      </c>
      <c r="B251" s="1950" t="s">
        <v>249</v>
      </c>
      <c r="C251" s="539"/>
      <c r="D251" s="2632"/>
      <c r="E251" s="2374"/>
      <c r="F251" s="2553"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597" t="str">
        <f>INDEX(PT_DIFFERENTIATION_NTAR,MATCH(B251,PT_DIFFERENTIATION_NTAR_ID,0))</f>
        <v>Тариф на подключение (технологическое присоединение) к централизованной системе холодного водоснабжения</v>
      </c>
      <c r="H251" s="2032"/>
      <c r="I251" s="8778">
        <v>45658</v>
      </c>
      <c r="J251" s="8773">
        <v>46022</v>
      </c>
      <c r="K251" s="1948">
        <v>0</v>
      </c>
      <c r="L251" s="2032" t="s">
        <v>309</v>
      </c>
      <c r="M251" s="511"/>
      <c r="N251" s="504"/>
      <c r="O251" s="1794"/>
      <c r="P251" s="1794"/>
      <c r="AH251" s="1801">
        <v>0</v>
      </c>
    </row>
    <row s="9589" customFormat="1" customHeight="1" ht="18.75">
      <c r="A252" s="1950"/>
      <c r="B252" s="1950"/>
      <c r="C252" s="539" t="s">
        <v>1157</v>
      </c>
      <c r="D252" s="2632"/>
      <c r="E252" s="2374"/>
      <c r="F252" s="2553"/>
      <c r="G252" s="2597"/>
      <c r="H252" s="1670"/>
      <c r="I252" s="821" t="s">
        <v>1156</v>
      </c>
      <c r="J252" s="741"/>
      <c r="K252" s="1670"/>
      <c r="L252" s="384"/>
      <c r="M252" s="511"/>
      <c r="N252" s="504"/>
      <c r="O252" s="1794"/>
      <c r="P252" s="1794"/>
      <c r="AH252" s="1801">
        <v>0</v>
      </c>
    </row>
    <row s="9589" customFormat="1" customHeight="1" ht="0.75">
      <c r="A253" s="1950"/>
      <c r="B253" s="1950"/>
      <c r="C253" s="539" t="s">
        <v>1166</v>
      </c>
      <c r="D253" s="2632"/>
      <c r="E253" s="2374"/>
      <c r="F253" s="2553"/>
      <c r="G253" s="570"/>
      <c r="H253" s="1670"/>
      <c r="I253" s="821"/>
      <c r="J253" s="741"/>
      <c r="K253" s="1670"/>
      <c r="L253" s="384"/>
      <c r="M253" s="511"/>
      <c r="N253" s="504"/>
      <c r="O253" s="1794"/>
      <c r="P253" s="1794"/>
      <c r="AH253" s="1801">
        <v>0</v>
      </c>
    </row>
    <row s="9589" customFormat="1" customHeight="1" ht="18.75" hidden="1">
      <c r="A254" s="1950" t="s">
        <v>253</v>
      </c>
      <c r="B254" s="1950" t="s">
        <v>254</v>
      </c>
      <c r="C254" s="539"/>
      <c r="D254" s="2632"/>
      <c r="E254" s="2374"/>
      <c r="F254" s="2553" t="str">
        <f>INDEX(PT_DIFFERENTIATION_VTAR,MATCH(A254,PT_DIFFERENTIATION_VTAR_ID,0))</f>
        <v>Тариф на горячую воду (горячее водоснабжение)</v>
      </c>
      <c r="G254" s="2597" t="str">
        <f>INDEX(PT_DIFFERENTIATION_NTAR,MATCH(B254,PT_DIFFERENTIATION_NTAR_ID,0))</f>
        <v/>
      </c>
      <c r="H254" s="2032"/>
      <c r="I254" s="1909"/>
      <c r="J254" s="1943"/>
      <c r="K254" s="1948"/>
      <c r="L254" s="2032" t="s">
        <v>309</v>
      </c>
      <c r="M254" s="511"/>
      <c r="N254" s="504"/>
      <c r="O254" s="1794"/>
      <c r="P254" s="1794"/>
      <c r="AH254" s="1801">
        <v>0</v>
      </c>
    </row>
    <row s="9589" customFormat="1" customHeight="1" ht="18.75" hidden="1">
      <c r="A255" s="1950"/>
      <c r="B255" s="1950"/>
      <c r="C255" s="539" t="s">
        <v>1157</v>
      </c>
      <c r="D255" s="2632"/>
      <c r="E255" s="2374"/>
      <c r="F255" s="2553"/>
      <c r="G255" s="2597"/>
      <c r="H255" s="1670"/>
      <c r="I255" s="821" t="s">
        <v>1156</v>
      </c>
      <c r="J255" s="741"/>
      <c r="K255" s="1670"/>
      <c r="L255" s="384"/>
      <c r="M255" s="511"/>
      <c r="N255" s="504"/>
      <c r="O255" s="1794"/>
      <c r="P255" s="1794"/>
      <c r="AH255" s="1801">
        <v>0</v>
      </c>
    </row>
    <row s="9589" customFormat="1" customHeight="1" ht="0.75" hidden="1">
      <c r="A256" s="1950"/>
      <c r="B256" s="1950"/>
      <c r="C256" s="539" t="s">
        <v>1166</v>
      </c>
      <c r="D256" s="2632"/>
      <c r="E256" s="2374"/>
      <c r="F256" s="2553"/>
      <c r="G256" s="570"/>
      <c r="H256" s="1670"/>
      <c r="I256" s="821"/>
      <c r="J256" s="741"/>
      <c r="K256" s="1670"/>
      <c r="L256" s="384"/>
      <c r="M256" s="511"/>
      <c r="N256" s="504"/>
      <c r="O256" s="1794"/>
      <c r="P256" s="1794"/>
      <c r="AH256" s="1801">
        <v>0</v>
      </c>
    </row>
    <row s="9589" customFormat="1" customHeight="1" ht="18.75" hidden="1">
      <c r="A257" s="1950" t="s">
        <v>258</v>
      </c>
      <c r="B257" s="1950" t="s">
        <v>259</v>
      </c>
      <c r="C257" s="539"/>
      <c r="D257" s="2632"/>
      <c r="E257" s="2374"/>
      <c r="F257" s="2553" t="str">
        <f>INDEX(PT_DIFFERENTIATION_VTAR,MATCH(A257,PT_DIFFERENTIATION_VTAR_ID,0))</f>
        <v>Тариф на транспортировку горячей воды</v>
      </c>
      <c r="G257" s="2597" t="str">
        <f>INDEX(PT_DIFFERENTIATION_NTAR,MATCH(B257,PT_DIFFERENTIATION_NTAR_ID,0))</f>
        <v/>
      </c>
      <c r="H257" s="2032"/>
      <c r="I257" s="1909"/>
      <c r="J257" s="1943"/>
      <c r="K257" s="1948"/>
      <c r="L257" s="2032" t="s">
        <v>309</v>
      </c>
      <c r="M257" s="511"/>
      <c r="N257" s="504"/>
      <c r="O257" s="1794"/>
      <c r="P257" s="1794"/>
      <c r="AH257" s="1801">
        <v>0</v>
      </c>
    </row>
    <row s="9589" customFormat="1" customHeight="1" ht="18.75" hidden="1">
      <c r="A258" s="1950"/>
      <c r="B258" s="1950"/>
      <c r="C258" s="539" t="s">
        <v>1157</v>
      </c>
      <c r="D258" s="2632"/>
      <c r="E258" s="2374"/>
      <c r="F258" s="2553"/>
      <c r="G258" s="2597"/>
      <c r="H258" s="1670"/>
      <c r="I258" s="821" t="s">
        <v>1156</v>
      </c>
      <c r="J258" s="741"/>
      <c r="K258" s="1670"/>
      <c r="L258" s="384"/>
      <c r="M258" s="511"/>
      <c r="N258" s="504"/>
      <c r="O258" s="1794"/>
      <c r="P258" s="1794"/>
      <c r="AH258" s="1801">
        <v>0</v>
      </c>
    </row>
    <row s="9589" customFormat="1" customHeight="1" ht="0.75" hidden="1">
      <c r="A259" s="1950"/>
      <c r="B259" s="1950"/>
      <c r="C259" s="539" t="s">
        <v>1166</v>
      </c>
      <c r="D259" s="2632"/>
      <c r="E259" s="2374"/>
      <c r="F259" s="2553"/>
      <c r="G259" s="570"/>
      <c r="H259" s="1670"/>
      <c r="I259" s="821"/>
      <c r="J259" s="741"/>
      <c r="K259" s="1670"/>
      <c r="L259" s="384"/>
      <c r="M259" s="511"/>
      <c r="N259" s="504"/>
      <c r="O259" s="1794"/>
      <c r="P259" s="1794"/>
      <c r="AH259" s="1801">
        <v>0</v>
      </c>
    </row>
    <row s="9589" customFormat="1" customHeight="1" ht="18.75" hidden="1">
      <c r="A260" s="1950" t="s">
        <v>263</v>
      </c>
      <c r="B260" s="1950" t="s">
        <v>264</v>
      </c>
      <c r="C260" s="539"/>
      <c r="D260" s="2632"/>
      <c r="E260" s="2374"/>
      <c r="F260" s="2553" t="str">
        <f>INDEX(PT_DIFFERENTIATION_VTAR,MATCH(A260,PT_DIFFERENTIATION_VTAR_ID,0))</f>
        <v>Тариф на подключение (технологическое присоединение) к централизованной системе горячего водоснабжения</v>
      </c>
      <c r="G260" s="2597" t="str">
        <f>INDEX(PT_DIFFERENTIATION_NTAR,MATCH(B260,PT_DIFFERENTIATION_NTAR_ID,0))</f>
        <v/>
      </c>
      <c r="H260" s="2032"/>
      <c r="I260" s="1909"/>
      <c r="J260" s="1943"/>
      <c r="K260" s="1948"/>
      <c r="L260" s="2032" t="s">
        <v>309</v>
      </c>
      <c r="M260" s="511"/>
      <c r="N260" s="504"/>
      <c r="O260" s="1794"/>
      <c r="P260" s="1794"/>
      <c r="AH260" s="1801">
        <v>0</v>
      </c>
    </row>
    <row s="9589" customFormat="1" customHeight="1" ht="18.75" hidden="1">
      <c r="A261" s="1950"/>
      <c r="B261" s="1950"/>
      <c r="C261" s="539" t="s">
        <v>1157</v>
      </c>
      <c r="D261" s="2632"/>
      <c r="E261" s="2374"/>
      <c r="F261" s="2553"/>
      <c r="G261" s="2597"/>
      <c r="H261" s="1670"/>
      <c r="I261" s="821" t="s">
        <v>1156</v>
      </c>
      <c r="J261" s="741"/>
      <c r="K261" s="1670"/>
      <c r="L261" s="384"/>
      <c r="M261" s="511"/>
      <c r="N261" s="504"/>
      <c r="O261" s="1794"/>
      <c r="P261" s="1794"/>
      <c r="AH261" s="1801">
        <v>0</v>
      </c>
    </row>
    <row s="9589" customFormat="1" customHeight="1" ht="0.75" hidden="1">
      <c r="A262" s="1950"/>
      <c r="B262" s="1950"/>
      <c r="C262" s="539" t="s">
        <v>1166</v>
      </c>
      <c r="D262" s="2632"/>
      <c r="E262" s="2374"/>
      <c r="F262" s="2553"/>
      <c r="G262" s="570"/>
      <c r="H262" s="1670"/>
      <c r="I262" s="821"/>
      <c r="J262" s="741"/>
      <c r="K262" s="1670"/>
      <c r="L262" s="384"/>
      <c r="M262" s="511"/>
      <c r="N262" s="504"/>
      <c r="O262" s="1794"/>
      <c r="P262" s="1794"/>
      <c r="AH262" s="1801">
        <v>0</v>
      </c>
    </row>
    <row s="9589" customFormat="1" customHeight="1" ht="18.75" hidden="1">
      <c r="A263" s="1950" t="s">
        <v>268</v>
      </c>
      <c r="B263" s="1950" t="s">
        <v>269</v>
      </c>
      <c r="C263" s="539"/>
      <c r="D263" s="2632"/>
      <c r="E263" s="2374"/>
      <c r="F263" s="2553" t="str">
        <f>INDEX(PT_DIFFERENTIATION_VTAR,MATCH(A263,PT_DIFFERENTIATION_VTAR_ID,0))</f>
        <v>Тариф на водоотведение</v>
      </c>
      <c r="G263" s="2597" t="str">
        <f>INDEX(PT_DIFFERENTIATION_NTAR,MATCH(B263,PT_DIFFERENTIATION_NTAR_ID,0))</f>
        <v/>
      </c>
      <c r="H263" s="2032"/>
      <c r="I263" s="1909"/>
      <c r="J263" s="1943"/>
      <c r="K263" s="1948"/>
      <c r="L263" s="2032" t="s">
        <v>309</v>
      </c>
      <c r="M263" s="511"/>
      <c r="N263" s="504"/>
      <c r="O263" s="1794"/>
      <c r="P263" s="1794"/>
      <c r="AH263" s="1801">
        <v>0</v>
      </c>
    </row>
    <row s="9589" customFormat="1" customHeight="1" ht="18.75" hidden="1">
      <c r="A264" s="1950"/>
      <c r="B264" s="1950"/>
      <c r="C264" s="539" t="s">
        <v>1157</v>
      </c>
      <c r="D264" s="2632"/>
      <c r="E264" s="2374"/>
      <c r="F264" s="2553"/>
      <c r="G264" s="2597"/>
      <c r="H264" s="1670"/>
      <c r="I264" s="821" t="s">
        <v>1156</v>
      </c>
      <c r="J264" s="741"/>
      <c r="K264" s="1670"/>
      <c r="L264" s="384"/>
      <c r="M264" s="511"/>
      <c r="N264" s="504"/>
      <c r="O264" s="1794"/>
      <c r="P264" s="1794"/>
      <c r="AH264" s="1801">
        <v>0</v>
      </c>
    </row>
    <row s="9589" customFormat="1" customHeight="1" ht="0.75" hidden="1">
      <c r="A265" s="1950"/>
      <c r="B265" s="1950"/>
      <c r="C265" s="539" t="s">
        <v>1166</v>
      </c>
      <c r="D265" s="2632"/>
      <c r="E265" s="2374"/>
      <c r="F265" s="2553"/>
      <c r="G265" s="570"/>
      <c r="H265" s="1670"/>
      <c r="I265" s="821"/>
      <c r="J265" s="741"/>
      <c r="K265" s="1670"/>
      <c r="L265" s="384"/>
      <c r="M265" s="511"/>
      <c r="N265" s="504"/>
      <c r="O265" s="1794"/>
      <c r="P265" s="1794"/>
      <c r="AH265" s="1801">
        <v>0</v>
      </c>
    </row>
    <row s="9589" customFormat="1" customHeight="1" ht="18.75" hidden="1">
      <c r="A266" s="1950" t="s">
        <v>273</v>
      </c>
      <c r="B266" s="1950" t="s">
        <v>274</v>
      </c>
      <c r="C266" s="539"/>
      <c r="D266" s="2632"/>
      <c r="E266" s="2374"/>
      <c r="F266" s="2553" t="str">
        <f>INDEX(PT_DIFFERENTIATION_VTAR,MATCH(A266,PT_DIFFERENTIATION_VTAR_ID,0))</f>
        <v>Тариф на транспортировку сточных вод</v>
      </c>
      <c r="G266" s="2597" t="str">
        <f>INDEX(PT_DIFFERENTIATION_NTAR,MATCH(B266,PT_DIFFERENTIATION_NTAR_ID,0))</f>
        <v/>
      </c>
      <c r="H266" s="2032"/>
      <c r="I266" s="1909"/>
      <c r="J266" s="1943"/>
      <c r="K266" s="1948"/>
      <c r="L266" s="2032" t="s">
        <v>309</v>
      </c>
      <c r="M266" s="511"/>
      <c r="N266" s="504"/>
      <c r="O266" s="1794"/>
      <c r="P266" s="1794"/>
      <c r="AH266" s="1801">
        <v>0</v>
      </c>
    </row>
    <row s="9589" customFormat="1" customHeight="1" ht="18.75" hidden="1">
      <c r="A267" s="1950"/>
      <c r="B267" s="1950"/>
      <c r="C267" s="539" t="s">
        <v>1157</v>
      </c>
      <c r="D267" s="2632"/>
      <c r="E267" s="2374"/>
      <c r="F267" s="2553"/>
      <c r="G267" s="2597"/>
      <c r="H267" s="1670"/>
      <c r="I267" s="821" t="s">
        <v>1156</v>
      </c>
      <c r="J267" s="741"/>
      <c r="K267" s="1670"/>
      <c r="L267" s="384"/>
      <c r="M267" s="511"/>
      <c r="N267" s="504"/>
      <c r="O267" s="1794"/>
      <c r="P267" s="1794"/>
      <c r="AH267" s="1801">
        <v>0</v>
      </c>
    </row>
    <row s="9589" customFormat="1" customHeight="1" ht="0.75" hidden="1">
      <c r="A268" s="1950"/>
      <c r="B268" s="1950"/>
      <c r="C268" s="539" t="s">
        <v>1166</v>
      </c>
      <c r="D268" s="2632"/>
      <c r="E268" s="2374"/>
      <c r="F268" s="2553"/>
      <c r="G268" s="570"/>
      <c r="H268" s="1670"/>
      <c r="I268" s="821"/>
      <c r="J268" s="741"/>
      <c r="K268" s="1670"/>
      <c r="L268" s="384"/>
      <c r="M268" s="511"/>
      <c r="N268" s="504"/>
      <c r="O268" s="1794"/>
      <c r="P268" s="1794"/>
      <c r="AH268" s="1801">
        <v>0</v>
      </c>
    </row>
    <row s="9589" customFormat="1" customHeight="1" ht="18.75" hidden="1">
      <c r="A269" s="1950" t="s">
        <v>278</v>
      </c>
      <c r="B269" s="1950" t="s">
        <v>279</v>
      </c>
      <c r="C269" s="539"/>
      <c r="D269" s="2632"/>
      <c r="E269" s="2374"/>
      <c r="F269" s="2553" t="str">
        <f>INDEX(PT_DIFFERENTIATION_VTAR,MATCH(A269,PT_DIFFERENTIATION_VTAR_ID,0))</f>
        <v>Тариф на подключение (технологическое присоединение) к централизованной системе водоотведения</v>
      </c>
      <c r="G269" s="2597" t="str">
        <f>INDEX(PT_DIFFERENTIATION_NTAR,MATCH(B269,PT_DIFFERENTIATION_NTAR_ID,0))</f>
        <v/>
      </c>
      <c r="H269" s="2032"/>
      <c r="I269" s="1909"/>
      <c r="J269" s="1943"/>
      <c r="K269" s="1948"/>
      <c r="L269" s="2032" t="s">
        <v>309</v>
      </c>
      <c r="M269" s="511"/>
      <c r="N269" s="504"/>
      <c r="O269" s="1794"/>
      <c r="P269" s="1794"/>
      <c r="AH269" s="1801">
        <v>0</v>
      </c>
    </row>
    <row s="9589" customFormat="1" customHeight="1" ht="18.75" hidden="1">
      <c r="A270" s="1950"/>
      <c r="B270" s="1950"/>
      <c r="C270" s="539" t="s">
        <v>1157</v>
      </c>
      <c r="D270" s="2632"/>
      <c r="E270" s="2374"/>
      <c r="F270" s="2553"/>
      <c r="G270" s="2597"/>
      <c r="H270" s="1670"/>
      <c r="I270" s="821" t="s">
        <v>1156</v>
      </c>
      <c r="J270" s="741"/>
      <c r="K270" s="1670"/>
      <c r="L270" s="384"/>
      <c r="M270" s="511"/>
      <c r="N270" s="504"/>
      <c r="O270" s="1794"/>
      <c r="P270" s="1794"/>
      <c r="AH270" s="1801">
        <v>0</v>
      </c>
    </row>
    <row s="9589" customFormat="1" customHeight="1" ht="1.05">
      <c r="A271" s="1950"/>
      <c r="B271" s="1950"/>
      <c r="C271" s="539" t="s">
        <v>1166</v>
      </c>
      <c r="D271" s="2632"/>
      <c r="E271" s="2374"/>
      <c r="F271" s="2553"/>
      <c r="G271" s="570"/>
      <c r="H271" s="1670"/>
      <c r="I271" s="821"/>
      <c r="J271" s="741"/>
      <c r="K271" s="1670"/>
      <c r="L271" s="384"/>
      <c r="M271" s="511"/>
      <c r="N271" s="504"/>
      <c r="O271" s="1794"/>
      <c r="P271" s="1794"/>
      <c r="AH271" s="1801">
        <v>1</v>
      </c>
    </row>
    <row customHeight="1" ht="27.299999999999997">
      <c r="A272" s="1950"/>
      <c r="B272" s="1950"/>
      <c r="D272" s="546"/>
      <c r="E272" s="317" t="s">
        <v>91</v>
      </c>
      <c r="F272"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630"/>
      <c r="H272" s="2630"/>
      <c r="I272" s="2630"/>
      <c r="J272" s="2630"/>
      <c r="K272" s="2630"/>
      <c r="L272" s="2630"/>
      <c r="M272" s="467"/>
      <c r="N272" s="504"/>
      <c r="AH272" s="544">
        <v>26</v>
      </c>
    </row>
    <row s="9589" customFormat="1" customHeight="1" ht="60.75" hidden="1">
      <c r="A273" s="1950" t="s">
        <v>154</v>
      </c>
      <c r="B273" s="1950" t="s">
        <v>155</v>
      </c>
      <c r="C273" s="539"/>
      <c r="D273" s="2632"/>
      <c r="E273" s="2374"/>
      <c r="F273" s="2553"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597" t="str">
        <f>INDEX(PT_DIFFERENTIATION_NTAR,MATCH(B273,PT_DIFFERENTIATION_NTAR_ID,0))</f>
        <v/>
      </c>
      <c r="H273" s="2032"/>
      <c r="I273" s="1909"/>
      <c r="J273" s="1943"/>
      <c r="K273" s="1948"/>
      <c r="L273" s="2032" t="s">
        <v>309</v>
      </c>
      <c r="M273"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504"/>
      <c r="O273" s="1794"/>
      <c r="P273" s="1794"/>
      <c r="AH273" s="1801">
        <v>0</v>
      </c>
    </row>
    <row s="9589" customFormat="1" customHeight="1" ht="18.75" hidden="1">
      <c r="A274" s="1950"/>
      <c r="B274" s="1950"/>
      <c r="C274" s="539" t="s">
        <v>1157</v>
      </c>
      <c r="D274" s="2632"/>
      <c r="E274" s="2374"/>
      <c r="F274" s="2553"/>
      <c r="G274" s="2597"/>
      <c r="H274" s="1670"/>
      <c r="I274" s="821" t="s">
        <v>1156</v>
      </c>
      <c r="J274" s="741"/>
      <c r="K274" s="1670"/>
      <c r="L274" s="384"/>
      <c r="M274" s="2340"/>
      <c r="N274" s="504"/>
      <c r="O274" s="1794"/>
      <c r="P274" s="1794"/>
      <c r="AH274" s="1801">
        <v>0</v>
      </c>
    </row>
    <row s="9589" customFormat="1" customHeight="1" ht="0.75" hidden="1">
      <c r="A275" s="1950"/>
      <c r="B275" s="1950"/>
      <c r="C275" s="539" t="s">
        <v>1166</v>
      </c>
      <c r="D275" s="2632"/>
      <c r="E275" s="2374"/>
      <c r="F275" s="2553"/>
      <c r="G275" s="570"/>
      <c r="H275" s="1670"/>
      <c r="I275" s="821"/>
      <c r="J275" s="741"/>
      <c r="K275" s="1670"/>
      <c r="L275" s="384"/>
      <c r="M275" s="2340"/>
      <c r="N275" s="504"/>
      <c r="O275" s="1794"/>
      <c r="P275" s="1794"/>
      <c r="AH275" s="1801">
        <v>0</v>
      </c>
    </row>
    <row s="9589" customFormat="1" customHeight="1" ht="45" hidden="1">
      <c r="A276" s="1950" t="s">
        <v>159</v>
      </c>
      <c r="B276" s="1950" t="s">
        <v>160</v>
      </c>
      <c r="C276" s="539"/>
      <c r="D276" s="2632"/>
      <c r="E276" s="2374"/>
      <c r="F276" s="2553" t="str">
        <f>INDEX(PT_DIFFERENTIATION_VTAR,MATCH(A276,PT_DIFFERENTIATION_VTAR_ID,0))</f>
        <v/>
      </c>
      <c r="G276" s="2597" t="str">
        <f>INDEX(PT_DIFFERENTIATION_NTAR,MATCH(B276,PT_DIFFERENTIATION_NTAR_ID,0))</f>
        <v/>
      </c>
      <c r="H276" s="2032"/>
      <c r="I276" s="1909"/>
      <c r="J276" s="1943"/>
      <c r="K276" s="1948"/>
      <c r="L276" s="2032" t="s">
        <v>309</v>
      </c>
      <c r="M276" s="2341"/>
      <c r="N276" s="504"/>
      <c r="O276" s="1794"/>
      <c r="P276" s="1794"/>
      <c r="AH276" s="1801">
        <v>0</v>
      </c>
    </row>
    <row s="9589" customFormat="1" customHeight="1" ht="18.75" hidden="1">
      <c r="A277" s="1950"/>
      <c r="B277" s="1950"/>
      <c r="C277" s="539" t="s">
        <v>1157</v>
      </c>
      <c r="D277" s="2632"/>
      <c r="E277" s="2374"/>
      <c r="F277" s="2553"/>
      <c r="G277" s="2597"/>
      <c r="H277" s="1670"/>
      <c r="I277" s="821" t="s">
        <v>1156</v>
      </c>
      <c r="J277" s="741"/>
      <c r="K277" s="1670"/>
      <c r="L277" s="384"/>
      <c r="M277" s="2031"/>
      <c r="N277" s="504"/>
      <c r="O277" s="1794"/>
      <c r="P277" s="1794"/>
      <c r="AH277" s="1801">
        <v>0</v>
      </c>
    </row>
    <row s="9589" customFormat="1" customHeight="1" ht="0.75" hidden="1">
      <c r="A278" s="1950"/>
      <c r="B278" s="1950"/>
      <c r="C278" s="539" t="s">
        <v>1166</v>
      </c>
      <c r="D278" s="2632"/>
      <c r="E278" s="2374"/>
      <c r="F278" s="2553"/>
      <c r="G278" s="570"/>
      <c r="H278" s="1670"/>
      <c r="I278" s="821"/>
      <c r="J278" s="741"/>
      <c r="K278" s="1670"/>
      <c r="L278" s="384"/>
      <c r="M278" s="511"/>
      <c r="N278" s="504"/>
      <c r="O278" s="1794"/>
      <c r="P278" s="1794"/>
      <c r="AH278" s="1801">
        <v>0</v>
      </c>
    </row>
    <row s="9589" customFormat="1" customHeight="1" ht="45" hidden="1">
      <c r="A279" s="1950" t="s">
        <v>166</v>
      </c>
      <c r="B279" s="1950" t="s">
        <v>167</v>
      </c>
      <c r="C279" s="539"/>
      <c r="D279" s="2632"/>
      <c r="E279" s="2374"/>
      <c r="F279" s="2553"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597" t="str">
        <f>INDEX(PT_DIFFERENTIATION_NTAR,MATCH(B279,PT_DIFFERENTIATION_NTAR_ID,0))</f>
        <v/>
      </c>
      <c r="H279" s="2032"/>
      <c r="I279" s="1909"/>
      <c r="J279" s="1943"/>
      <c r="K279" s="1948"/>
      <c r="L279" s="2032" t="s">
        <v>309</v>
      </c>
      <c r="M279" s="511"/>
      <c r="N279" s="504"/>
      <c r="O279" s="1794"/>
      <c r="P279" s="1794"/>
      <c r="AH279" s="1801">
        <v>0</v>
      </c>
    </row>
    <row s="9589" customFormat="1" customHeight="1" ht="18.75" hidden="1">
      <c r="A280" s="1950"/>
      <c r="B280" s="1950"/>
      <c r="C280" s="539" t="s">
        <v>1157</v>
      </c>
      <c r="D280" s="2632"/>
      <c r="E280" s="2374"/>
      <c r="F280" s="2553"/>
      <c r="G280" s="2597"/>
      <c r="H280" s="1670"/>
      <c r="I280" s="821" t="s">
        <v>1156</v>
      </c>
      <c r="J280" s="741"/>
      <c r="K280" s="1670"/>
      <c r="L280" s="384"/>
      <c r="M280" s="511"/>
      <c r="N280" s="504"/>
      <c r="O280" s="1794"/>
      <c r="P280" s="1794"/>
      <c r="AH280" s="1801">
        <v>0</v>
      </c>
    </row>
    <row s="9589" customFormat="1" customHeight="1" ht="0.75" hidden="1">
      <c r="A281" s="1950"/>
      <c r="B281" s="1950"/>
      <c r="C281" s="539" t="s">
        <v>1166</v>
      </c>
      <c r="D281" s="2632"/>
      <c r="E281" s="2374"/>
      <c r="F281" s="2553"/>
      <c r="G281" s="570"/>
      <c r="H281" s="1670"/>
      <c r="I281" s="821"/>
      <c r="J281" s="741"/>
      <c r="K281" s="1670"/>
      <c r="L281" s="384"/>
      <c r="M281" s="511"/>
      <c r="N281" s="504"/>
      <c r="O281" s="1794"/>
      <c r="P281" s="1794"/>
      <c r="AH281" s="1801">
        <v>0</v>
      </c>
    </row>
    <row s="9589" customFormat="1" customHeight="1" ht="45" hidden="1">
      <c r="A282" s="1950" t="s">
        <v>172</v>
      </c>
      <c r="B282" s="1950" t="s">
        <v>173</v>
      </c>
      <c r="C282" s="539"/>
      <c r="D282" s="2632"/>
      <c r="E282" s="2374"/>
      <c r="F282" s="2553"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597" t="str">
        <f>INDEX(PT_DIFFERENTIATION_NTAR,MATCH(B282,PT_DIFFERENTIATION_NTAR_ID,0))</f>
        <v/>
      </c>
      <c r="H282" s="2032"/>
      <c r="I282" s="1909"/>
      <c r="J282" s="1943"/>
      <c r="K282" s="1948"/>
      <c r="L282" s="2032" t="s">
        <v>309</v>
      </c>
      <c r="M282" s="511"/>
      <c r="N282" s="504"/>
      <c r="O282" s="1794"/>
      <c r="P282" s="1794"/>
      <c r="AH282" s="1801">
        <v>0</v>
      </c>
    </row>
    <row s="9589" customFormat="1" customHeight="1" ht="18.75" hidden="1">
      <c r="A283" s="1950"/>
      <c r="B283" s="1950"/>
      <c r="C283" s="539" t="s">
        <v>1157</v>
      </c>
      <c r="D283" s="2632"/>
      <c r="E283" s="2374"/>
      <c r="F283" s="2553"/>
      <c r="G283" s="2597"/>
      <c r="H283" s="1670"/>
      <c r="I283" s="821" t="s">
        <v>1156</v>
      </c>
      <c r="J283" s="741"/>
      <c r="K283" s="1670"/>
      <c r="L283" s="384"/>
      <c r="M283" s="511"/>
      <c r="N283" s="504"/>
      <c r="O283" s="1794"/>
      <c r="P283" s="1794"/>
      <c r="AH283" s="1801">
        <v>0</v>
      </c>
    </row>
    <row s="9589" customFormat="1" customHeight="1" ht="0.75" hidden="1">
      <c r="A284" s="1950"/>
      <c r="B284" s="1950"/>
      <c r="C284" s="539" t="s">
        <v>1166</v>
      </c>
      <c r="D284" s="2632"/>
      <c r="E284" s="2374"/>
      <c r="F284" s="2553"/>
      <c r="G284" s="570"/>
      <c r="H284" s="1670"/>
      <c r="I284" s="821"/>
      <c r="J284" s="741"/>
      <c r="K284" s="1670"/>
      <c r="L284" s="384"/>
      <c r="M284" s="511"/>
      <c r="N284" s="504"/>
      <c r="O284" s="1794"/>
      <c r="P284" s="1794"/>
      <c r="AH284" s="1801">
        <v>0</v>
      </c>
    </row>
    <row s="9589" customFormat="1" customHeight="1" ht="18.75" hidden="1">
      <c r="A285" s="1950" t="s">
        <v>178</v>
      </c>
      <c r="B285" s="1950" t="s">
        <v>179</v>
      </c>
      <c r="C285" s="539"/>
      <c r="D285" s="2632"/>
      <c r="E285" s="2374"/>
      <c r="F285" s="2553" t="str">
        <f>INDEX(PT_DIFFERENTIATION_VTAR,MATCH(A285,PT_DIFFERENTIATION_VTAR_ID,0))</f>
        <v>Тарифы на услуги по передаче тепловой энергии</v>
      </c>
      <c r="G285" s="2597" t="str">
        <f>INDEX(PT_DIFFERENTIATION_NTAR,MATCH(B285,PT_DIFFERENTIATION_NTAR_ID,0))</f>
        <v/>
      </c>
      <c r="H285" s="2032"/>
      <c r="I285" s="1909"/>
      <c r="J285" s="1943"/>
      <c r="K285" s="1948"/>
      <c r="L285" s="2032" t="s">
        <v>309</v>
      </c>
      <c r="M285" s="511"/>
      <c r="N285" s="504"/>
      <c r="O285" s="1794"/>
      <c r="P285" s="1794"/>
      <c r="AH285" s="1801">
        <v>0</v>
      </c>
    </row>
    <row s="9589" customFormat="1" customHeight="1" ht="18.75" hidden="1">
      <c r="A286" s="1950"/>
      <c r="B286" s="1950"/>
      <c r="C286" s="539" t="s">
        <v>1157</v>
      </c>
      <c r="D286" s="2632"/>
      <c r="E286" s="2374"/>
      <c r="F286" s="2553"/>
      <c r="G286" s="2597"/>
      <c r="H286" s="1670"/>
      <c r="I286" s="821" t="s">
        <v>1156</v>
      </c>
      <c r="J286" s="741"/>
      <c r="K286" s="1670"/>
      <c r="L286" s="384"/>
      <c r="M286" s="511"/>
      <c r="N286" s="504"/>
      <c r="O286" s="1794"/>
      <c r="P286" s="1794"/>
      <c r="AH286" s="1801">
        <v>0</v>
      </c>
    </row>
    <row s="9589" customFormat="1" customHeight="1" ht="0.75" hidden="1">
      <c r="A287" s="1950"/>
      <c r="B287" s="1950"/>
      <c r="C287" s="539" t="s">
        <v>1166</v>
      </c>
      <c r="D287" s="2632"/>
      <c r="E287" s="2374"/>
      <c r="F287" s="2553"/>
      <c r="G287" s="570"/>
      <c r="H287" s="1670"/>
      <c r="I287" s="821"/>
      <c r="J287" s="741"/>
      <c r="K287" s="1670"/>
      <c r="L287" s="384"/>
      <c r="M287" s="511"/>
      <c r="N287" s="504"/>
      <c r="O287" s="1794"/>
      <c r="P287" s="1794"/>
      <c r="AH287" s="1801">
        <v>0</v>
      </c>
    </row>
    <row s="9589" customFormat="1" customHeight="1" ht="18.75" hidden="1">
      <c r="A288" s="1950" t="s">
        <v>184</v>
      </c>
      <c r="B288" s="1950" t="s">
        <v>185</v>
      </c>
      <c r="C288" s="539"/>
      <c r="D288" s="2632"/>
      <c r="E288" s="2374"/>
      <c r="F288" s="2553" t="str">
        <f>INDEX(PT_DIFFERENTIATION_VTAR,MATCH(A288,PT_DIFFERENTIATION_VTAR_ID,0))</f>
        <v>Тарифы на услуги по передаче теплоносителя</v>
      </c>
      <c r="G288" s="2597" t="str">
        <f>INDEX(PT_DIFFERENTIATION_NTAR,MATCH(B288,PT_DIFFERENTIATION_NTAR_ID,0))</f>
        <v/>
      </c>
      <c r="H288" s="2032"/>
      <c r="I288" s="1909"/>
      <c r="J288" s="1943"/>
      <c r="K288" s="1948"/>
      <c r="L288" s="2032" t="s">
        <v>309</v>
      </c>
      <c r="M288" s="511"/>
      <c r="N288" s="504"/>
      <c r="O288" s="1794"/>
      <c r="P288" s="1794"/>
      <c r="AH288" s="1801">
        <v>0</v>
      </c>
    </row>
    <row s="9589" customFormat="1" customHeight="1" ht="18.75" hidden="1">
      <c r="A289" s="1950"/>
      <c r="B289" s="1950"/>
      <c r="C289" s="539" t="s">
        <v>1157</v>
      </c>
      <c r="D289" s="2632"/>
      <c r="E289" s="2374"/>
      <c r="F289" s="2553"/>
      <c r="G289" s="2597"/>
      <c r="H289" s="1670"/>
      <c r="I289" s="821" t="s">
        <v>1156</v>
      </c>
      <c r="J289" s="741"/>
      <c r="K289" s="1670"/>
      <c r="L289" s="384"/>
      <c r="M289" s="511"/>
      <c r="N289" s="504"/>
      <c r="O289" s="1794"/>
      <c r="P289" s="1794"/>
      <c r="AH289" s="1801">
        <v>0</v>
      </c>
    </row>
    <row s="9589" customFormat="1" customHeight="1" ht="0.75" hidden="1">
      <c r="A290" s="1950"/>
      <c r="B290" s="1950"/>
      <c r="C290" s="539" t="s">
        <v>1166</v>
      </c>
      <c r="D290" s="2632"/>
      <c r="E290" s="2374"/>
      <c r="F290" s="2553"/>
      <c r="G290" s="570"/>
      <c r="H290" s="1670"/>
      <c r="I290" s="821"/>
      <c r="J290" s="741"/>
      <c r="K290" s="1670"/>
      <c r="L290" s="384"/>
      <c r="M290" s="511"/>
      <c r="N290" s="504"/>
      <c r="O290" s="1794"/>
      <c r="P290" s="1794"/>
      <c r="AH290" s="1801">
        <v>0</v>
      </c>
    </row>
    <row s="9589" customFormat="1" customHeight="1" ht="18.75" hidden="1">
      <c r="A291" s="1950" t="s">
        <v>190</v>
      </c>
      <c r="B291" s="1950" t="s">
        <v>191</v>
      </c>
      <c r="C291" s="539"/>
      <c r="D291" s="2632"/>
      <c r="E291" s="2374"/>
      <c r="F291" s="2553"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597" t="str">
        <f>INDEX(PT_DIFFERENTIATION_NTAR,MATCH(B291,PT_DIFFERENTIATION_NTAR_ID,0))</f>
        <v/>
      </c>
      <c r="H291" s="2032"/>
      <c r="I291" s="1909"/>
      <c r="J291" s="1943"/>
      <c r="K291" s="1948"/>
      <c r="L291" s="2032" t="s">
        <v>309</v>
      </c>
      <c r="M291" s="511"/>
      <c r="N291" s="504"/>
      <c r="O291" s="1794"/>
      <c r="P291" s="1794"/>
      <c r="AH291" s="1801">
        <v>0</v>
      </c>
    </row>
    <row s="9589" customFormat="1" customHeight="1" ht="18.75" hidden="1">
      <c r="A292" s="1950"/>
      <c r="B292" s="1950"/>
      <c r="C292" s="539" t="s">
        <v>1157</v>
      </c>
      <c r="D292" s="2632"/>
      <c r="E292" s="2374"/>
      <c r="F292" s="2553"/>
      <c r="G292" s="2597"/>
      <c r="H292" s="1670"/>
      <c r="I292" s="821" t="s">
        <v>1156</v>
      </c>
      <c r="J292" s="741"/>
      <c r="K292" s="1670"/>
      <c r="L292" s="384"/>
      <c r="M292" s="511"/>
      <c r="N292" s="504"/>
      <c r="O292" s="1794"/>
      <c r="P292" s="1794"/>
      <c r="AH292" s="1801">
        <v>0</v>
      </c>
    </row>
    <row s="9589" customFormat="1" customHeight="1" ht="0.75" hidden="1">
      <c r="A293" s="1950"/>
      <c r="B293" s="1950"/>
      <c r="C293" s="539" t="s">
        <v>1166</v>
      </c>
      <c r="D293" s="2632"/>
      <c r="E293" s="2374"/>
      <c r="F293" s="2553"/>
      <c r="G293" s="570"/>
      <c r="H293" s="1670"/>
      <c r="I293" s="821"/>
      <c r="J293" s="741"/>
      <c r="K293" s="1670"/>
      <c r="L293" s="384"/>
      <c r="M293" s="511"/>
      <c r="N293" s="504"/>
      <c r="O293" s="1794"/>
      <c r="P293" s="1794"/>
      <c r="AH293" s="1801">
        <v>0</v>
      </c>
    </row>
    <row s="9589" customFormat="1" customHeight="1" ht="18.75" hidden="1">
      <c r="A294" s="1950" t="s">
        <v>196</v>
      </c>
      <c r="B294" s="1950" t="s">
        <v>197</v>
      </c>
      <c r="C294" s="539"/>
      <c r="D294" s="2632"/>
      <c r="E294" s="2374"/>
      <c r="F294" s="2553" t="str">
        <f>INDEX(PT_DIFFERENTIATION_VTAR,MATCH(A294,PT_DIFFERENTIATION_VTAR_ID,0))</f>
        <v>Плата за подключение (технологическое присоединение) к системе теплоснабжения</v>
      </c>
      <c r="G294" s="2597" t="str">
        <f>INDEX(PT_DIFFERENTIATION_NTAR,MATCH(B294,PT_DIFFERENTIATION_NTAR_ID,0))</f>
        <v/>
      </c>
      <c r="H294" s="2032"/>
      <c r="I294" s="1909"/>
      <c r="J294" s="1943"/>
      <c r="K294" s="1948"/>
      <c r="L294" s="2032" t="s">
        <v>309</v>
      </c>
      <c r="M294" s="511"/>
      <c r="N294" s="504"/>
      <c r="O294" s="1794"/>
      <c r="P294" s="1794"/>
      <c r="AH294" s="1801">
        <v>0</v>
      </c>
    </row>
    <row s="9589" customFormat="1" customHeight="1" ht="18.75" hidden="1">
      <c r="A295" s="1950"/>
      <c r="B295" s="1950"/>
      <c r="C295" s="539" t="s">
        <v>1157</v>
      </c>
      <c r="D295" s="2632"/>
      <c r="E295" s="2374"/>
      <c r="F295" s="2553"/>
      <c r="G295" s="2597"/>
      <c r="H295" s="1670"/>
      <c r="I295" s="821" t="s">
        <v>1156</v>
      </c>
      <c r="J295" s="741"/>
      <c r="K295" s="1670"/>
      <c r="L295" s="384"/>
      <c r="M295" s="511"/>
      <c r="N295" s="504"/>
      <c r="O295" s="1794"/>
      <c r="P295" s="1794"/>
      <c r="AH295" s="1801">
        <v>0</v>
      </c>
    </row>
    <row s="9589" customFormat="1" customHeight="1" ht="0.75" hidden="1">
      <c r="A296" s="1950"/>
      <c r="B296" s="1950"/>
      <c r="C296" s="539" t="s">
        <v>1166</v>
      </c>
      <c r="D296" s="2632"/>
      <c r="E296" s="2374"/>
      <c r="F296" s="2553"/>
      <c r="G296" s="570"/>
      <c r="H296" s="1670"/>
      <c r="I296" s="821"/>
      <c r="J296" s="741"/>
      <c r="K296" s="1670"/>
      <c r="L296" s="384"/>
      <c r="M296" s="511"/>
      <c r="N296" s="504"/>
      <c r="O296" s="1794"/>
      <c r="P296" s="1794"/>
      <c r="AH296" s="1801">
        <v>0</v>
      </c>
    </row>
    <row s="9589" customFormat="1" customHeight="1" ht="18.75" hidden="1">
      <c r="A297" s="1950" t="s">
        <v>202</v>
      </c>
      <c r="B297" s="1950" t="s">
        <v>203</v>
      </c>
      <c r="C297" s="539"/>
      <c r="D297" s="2632"/>
      <c r="E297" s="2374"/>
      <c r="F297" s="2553" t="str">
        <f>INDEX(PT_DIFFERENTIATION_VTAR,MATCH(A297,PT_DIFFERENTIATION_VTAR_ID,0))</f>
        <v>Плата за подключение (технологическое присоединение) к системе теплоснабжения (индивидуальная)</v>
      </c>
      <c r="G297" s="2597" t="str">
        <f>INDEX(PT_DIFFERENTIATION_NTAR,MATCH(B297,PT_DIFFERENTIATION_NTAR_ID,0))</f>
        <v/>
      </c>
      <c r="H297" s="2159"/>
      <c r="I297" s="1909"/>
      <c r="J297" s="1943"/>
      <c r="K297" s="1948"/>
      <c r="L297" s="2159" t="s">
        <v>309</v>
      </c>
      <c r="M297" s="511"/>
      <c r="N297" s="504"/>
      <c r="O297" s="1794"/>
      <c r="P297" s="1794"/>
      <c r="AH297" s="1801">
        <v>0</v>
      </c>
    </row>
    <row s="9589" customFormat="1" customHeight="1" ht="18.75" hidden="1">
      <c r="A298" s="1950"/>
      <c r="B298" s="1950"/>
      <c r="C298" s="539" t="s">
        <v>1157</v>
      </c>
      <c r="D298" s="2632"/>
      <c r="E298" s="2374"/>
      <c r="F298" s="2553"/>
      <c r="G298" s="2597"/>
      <c r="H298" s="1670"/>
      <c r="I298" s="821" t="s">
        <v>1156</v>
      </c>
      <c r="J298" s="741"/>
      <c r="K298" s="1670"/>
      <c r="L298" s="384"/>
      <c r="M298" s="511"/>
      <c r="N298" s="504"/>
      <c r="O298" s="1794"/>
      <c r="P298" s="1794"/>
      <c r="AH298" s="1801">
        <v>0</v>
      </c>
    </row>
    <row s="9589" customFormat="1" customHeight="1" ht="0.75" hidden="1">
      <c r="A299" s="1950"/>
      <c r="B299" s="1950"/>
      <c r="C299" s="539" t="s">
        <v>1166</v>
      </c>
      <c r="D299" s="2632"/>
      <c r="E299" s="2374"/>
      <c r="F299" s="2553"/>
      <c r="G299" s="570"/>
      <c r="H299" s="1670"/>
      <c r="I299" s="821"/>
      <c r="J299" s="741"/>
      <c r="K299" s="1670"/>
      <c r="L299" s="384"/>
      <c r="M299" s="511"/>
      <c r="N299" s="504"/>
      <c r="O299" s="1794"/>
      <c r="P299" s="1794"/>
      <c r="AH299" s="1801">
        <v>0</v>
      </c>
    </row>
    <row s="9589" customFormat="1" customHeight="1" ht="18.75">
      <c r="A300" s="1950" t="s">
        <v>224</v>
      </c>
      <c r="B300" s="1950" t="s">
        <v>225</v>
      </c>
      <c r="C300" s="539"/>
      <c r="D300" s="2632"/>
      <c r="E300" s="2374"/>
      <c r="F300" s="2553" t="str">
        <f>INDEX(PT_DIFFERENTIATION_VTAR,MATCH(A300,PT_DIFFERENTIATION_VTAR_ID,0))</f>
        <v>Тариф на питьевую воду (питьевое водоснабжение)</v>
      </c>
      <c r="G300" s="2597" t="str">
        <f>INDEX(PT_DIFFERENTIATION_NTAR,MATCH(B300,PT_DIFFERENTIATION_NTAR_ID,0))</f>
        <v>Холодное водоснабжение. Питьевая вода</v>
      </c>
      <c r="H300" s="2032"/>
      <c r="I300" s="4826">
        <v>45658.41600694445</v>
      </c>
      <c r="J300" s="4827">
        <v>46022.41609953704</v>
      </c>
      <c r="K300" s="1948">
        <v>0</v>
      </c>
      <c r="L300" s="2032" t="s">
        <v>309</v>
      </c>
      <c r="M300" s="511"/>
      <c r="N300" s="504"/>
      <c r="O300" s="1794"/>
      <c r="P300" s="1794"/>
      <c r="AH300" s="1801">
        <v>0</v>
      </c>
    </row>
    <row s="9589" customFormat="1" customHeight="1" ht="18.75">
      <c r="A301" s="1950"/>
      <c r="B301" s="1950"/>
      <c r="C301" s="539" t="s">
        <v>1157</v>
      </c>
      <c r="D301" s="2632"/>
      <c r="E301" s="2374"/>
      <c r="F301" s="2553"/>
      <c r="G301" s="2597"/>
      <c r="H301" s="1670"/>
      <c r="I301" s="821" t="s">
        <v>1156</v>
      </c>
      <c r="J301" s="741"/>
      <c r="K301" s="1670"/>
      <c r="L301" s="384"/>
      <c r="M301" s="511"/>
      <c r="N301" s="504"/>
      <c r="O301" s="1794"/>
      <c r="P301" s="1794"/>
      <c r="AH301" s="1801">
        <v>0</v>
      </c>
    </row>
    <row s="9589" customFormat="1" customHeight="1" ht="0.75">
      <c r="A302" s="1950"/>
      <c r="B302" s="1950"/>
      <c r="C302" s="539" t="s">
        <v>1166</v>
      </c>
      <c r="D302" s="2632"/>
      <c r="E302" s="2374"/>
      <c r="F302" s="2553"/>
      <c r="G302" s="570"/>
      <c r="H302" s="1670"/>
      <c r="I302" s="821"/>
      <c r="J302" s="741"/>
      <c r="K302" s="1670"/>
      <c r="L302" s="384"/>
      <c r="M302" s="511"/>
      <c r="N302" s="504"/>
      <c r="O302" s="1794"/>
      <c r="P302" s="1794"/>
      <c r="AH302" s="1801">
        <v>0</v>
      </c>
    </row>
    <row s="9589" customFormat="1" customHeight="1" ht="18.75" hidden="1">
      <c r="A303" s="1950" t="s">
        <v>232</v>
      </c>
      <c r="B303" s="1950" t="s">
        <v>233</v>
      </c>
      <c r="C303" s="539"/>
      <c r="D303" s="2632"/>
      <c r="E303" s="2374"/>
      <c r="F303" s="2553" t="str">
        <f>INDEX(PT_DIFFERENTIATION_VTAR,MATCH(A303,PT_DIFFERENTIATION_VTAR_ID,0))</f>
        <v>Тариф на техническую воду</v>
      </c>
      <c r="G303" s="2597" t="str">
        <f>INDEX(PT_DIFFERENTIATION_NTAR,MATCH(B303,PT_DIFFERENTIATION_NTAR_ID,0))</f>
        <v/>
      </c>
      <c r="H303" s="2032"/>
      <c r="I303" s="1909"/>
      <c r="J303" s="1943"/>
      <c r="K303" s="1948"/>
      <c r="L303" s="2032" t="s">
        <v>309</v>
      </c>
      <c r="M303" s="511"/>
      <c r="N303" s="504"/>
      <c r="O303" s="1794"/>
      <c r="P303" s="1794"/>
      <c r="AH303" s="1801">
        <v>0</v>
      </c>
    </row>
    <row s="9589" customFormat="1" customHeight="1" ht="18.75" hidden="1">
      <c r="A304" s="1950"/>
      <c r="B304" s="1950"/>
      <c r="C304" s="539" t="s">
        <v>1157</v>
      </c>
      <c r="D304" s="2632"/>
      <c r="E304" s="2374"/>
      <c r="F304" s="2553"/>
      <c r="G304" s="2597"/>
      <c r="H304" s="1670"/>
      <c r="I304" s="821" t="s">
        <v>1156</v>
      </c>
      <c r="J304" s="741"/>
      <c r="K304" s="1670"/>
      <c r="L304" s="384"/>
      <c r="M304" s="511"/>
      <c r="N304" s="504"/>
      <c r="O304" s="1794"/>
      <c r="P304" s="1794"/>
      <c r="AH304" s="1801">
        <v>0</v>
      </c>
    </row>
    <row s="9589" customFormat="1" customHeight="1" ht="0.75" hidden="1">
      <c r="A305" s="1950"/>
      <c r="B305" s="1950"/>
      <c r="C305" s="539" t="s">
        <v>1166</v>
      </c>
      <c r="D305" s="2632"/>
      <c r="E305" s="2374"/>
      <c r="F305" s="2553"/>
      <c r="G305" s="570"/>
      <c r="H305" s="1670"/>
      <c r="I305" s="821"/>
      <c r="J305" s="741"/>
      <c r="K305" s="1670"/>
      <c r="L305" s="384"/>
      <c r="M305" s="511"/>
      <c r="N305" s="504"/>
      <c r="O305" s="1794"/>
      <c r="P305" s="1794"/>
      <c r="AH305" s="1801">
        <v>0</v>
      </c>
    </row>
    <row s="9589" customFormat="1" customHeight="1" ht="18.75" hidden="1">
      <c r="A306" s="1950" t="s">
        <v>237</v>
      </c>
      <c r="B306" s="1950" t="s">
        <v>238</v>
      </c>
      <c r="C306" s="539"/>
      <c r="D306" s="2632"/>
      <c r="E306" s="2374"/>
      <c r="F306" s="2553" t="str">
        <f>INDEX(PT_DIFFERENTIATION_VTAR,MATCH(A306,PT_DIFFERENTIATION_VTAR_ID,0))</f>
        <v>Тариф на транспортировку воды</v>
      </c>
      <c r="G306" s="2597" t="str">
        <f>INDEX(PT_DIFFERENTIATION_NTAR,MATCH(B306,PT_DIFFERENTIATION_NTAR_ID,0))</f>
        <v/>
      </c>
      <c r="H306" s="2032"/>
      <c r="I306" s="1909"/>
      <c r="J306" s="1943"/>
      <c r="K306" s="1948"/>
      <c r="L306" s="2032" t="s">
        <v>309</v>
      </c>
      <c r="M306" s="511"/>
      <c r="N306" s="504"/>
      <c r="O306" s="1794"/>
      <c r="P306" s="1794"/>
      <c r="AH306" s="1801">
        <v>0</v>
      </c>
    </row>
    <row s="9589" customFormat="1" customHeight="1" ht="18.75" hidden="1">
      <c r="A307" s="1950"/>
      <c r="B307" s="1950"/>
      <c r="C307" s="539" t="s">
        <v>1157</v>
      </c>
      <c r="D307" s="2632"/>
      <c r="E307" s="2374"/>
      <c r="F307" s="2553"/>
      <c r="G307" s="2597"/>
      <c r="H307" s="1670"/>
      <c r="I307" s="821" t="s">
        <v>1156</v>
      </c>
      <c r="J307" s="741"/>
      <c r="K307" s="1670"/>
      <c r="L307" s="384"/>
      <c r="M307" s="511"/>
      <c r="N307" s="504"/>
      <c r="O307" s="1794"/>
      <c r="P307" s="1794"/>
      <c r="AH307" s="1801">
        <v>0</v>
      </c>
    </row>
    <row s="9589" customFormat="1" customHeight="1" ht="0.75" hidden="1">
      <c r="A308" s="1950"/>
      <c r="B308" s="1950"/>
      <c r="C308" s="539" t="s">
        <v>1166</v>
      </c>
      <c r="D308" s="2632"/>
      <c r="E308" s="2374"/>
      <c r="F308" s="2553"/>
      <c r="G308" s="570"/>
      <c r="H308" s="1670"/>
      <c r="I308" s="821"/>
      <c r="J308" s="741"/>
      <c r="K308" s="1670"/>
      <c r="L308" s="384"/>
      <c r="M308" s="511"/>
      <c r="N308" s="504"/>
      <c r="O308" s="1794"/>
      <c r="P308" s="1794"/>
      <c r="AH308" s="1801">
        <v>0</v>
      </c>
    </row>
    <row s="9589" customFormat="1" customHeight="1" ht="18.75" hidden="1">
      <c r="A309" s="1950" t="s">
        <v>242</v>
      </c>
      <c r="B309" s="1950" t="s">
        <v>243</v>
      </c>
      <c r="C309" s="539"/>
      <c r="D309" s="2632"/>
      <c r="E309" s="2374"/>
      <c r="F309" s="2553" t="str">
        <f>INDEX(PT_DIFFERENTIATION_VTAR,MATCH(A309,PT_DIFFERENTIATION_VTAR_ID,0))</f>
        <v>Тариф на подвоз воды</v>
      </c>
      <c r="G309" s="2597" t="str">
        <f>INDEX(PT_DIFFERENTIATION_NTAR,MATCH(B309,PT_DIFFERENTIATION_NTAR_ID,0))</f>
        <v/>
      </c>
      <c r="H309" s="2032"/>
      <c r="I309" s="1909"/>
      <c r="J309" s="1943"/>
      <c r="K309" s="1948"/>
      <c r="L309" s="2032" t="s">
        <v>309</v>
      </c>
      <c r="M309" s="511"/>
      <c r="N309" s="504"/>
      <c r="O309" s="1794"/>
      <c r="P309" s="1794"/>
      <c r="AH309" s="1801">
        <v>0</v>
      </c>
    </row>
    <row s="9589" customFormat="1" customHeight="1" ht="18.75" hidden="1">
      <c r="A310" s="1950"/>
      <c r="B310" s="1950"/>
      <c r="C310" s="539" t="s">
        <v>1157</v>
      </c>
      <c r="D310" s="2632"/>
      <c r="E310" s="2374"/>
      <c r="F310" s="2553"/>
      <c r="G310" s="2597"/>
      <c r="H310" s="1670"/>
      <c r="I310" s="821" t="s">
        <v>1156</v>
      </c>
      <c r="J310" s="741"/>
      <c r="K310" s="1670"/>
      <c r="L310" s="384"/>
      <c r="M310" s="511"/>
      <c r="N310" s="504"/>
      <c r="O310" s="1794"/>
      <c r="P310" s="1794"/>
      <c r="AH310" s="1801">
        <v>0</v>
      </c>
    </row>
    <row s="9589" customFormat="1" customHeight="1" ht="0.75" hidden="1">
      <c r="A311" s="1950"/>
      <c r="B311" s="1950"/>
      <c r="C311" s="539" t="s">
        <v>1166</v>
      </c>
      <c r="D311" s="2632"/>
      <c r="E311" s="2374"/>
      <c r="F311" s="2553"/>
      <c r="G311" s="570"/>
      <c r="H311" s="1670"/>
      <c r="I311" s="821"/>
      <c r="J311" s="741"/>
      <c r="K311" s="1670"/>
      <c r="L311" s="384"/>
      <c r="M311" s="511"/>
      <c r="N311" s="504"/>
      <c r="O311" s="1794"/>
      <c r="P311" s="1794"/>
      <c r="AH311" s="1801">
        <v>0</v>
      </c>
    </row>
    <row s="9589" customFormat="1" customHeight="1" ht="18.75">
      <c r="A312" s="1950" t="s">
        <v>248</v>
      </c>
      <c r="B312" s="1950" t="s">
        <v>249</v>
      </c>
      <c r="C312" s="539"/>
      <c r="D312" s="2632"/>
      <c r="E312" s="2374"/>
      <c r="F312" s="2553"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597" t="str">
        <f>INDEX(PT_DIFFERENTIATION_NTAR,MATCH(B312,PT_DIFFERENTIATION_NTAR_ID,0))</f>
        <v>Тариф на подключение (технологическое присоединение) к централизованной системе холодного водоснабжения</v>
      </c>
      <c r="H312" s="2032"/>
      <c r="I312" s="8778">
        <v>45658</v>
      </c>
      <c r="J312" s="8773">
        <v>46022</v>
      </c>
      <c r="K312" s="1948">
        <v>0</v>
      </c>
      <c r="L312" s="2032" t="s">
        <v>309</v>
      </c>
      <c r="M312" s="511"/>
      <c r="N312" s="504"/>
      <c r="O312" s="1794"/>
      <c r="P312" s="1794"/>
      <c r="AH312" s="1801">
        <v>0</v>
      </c>
    </row>
    <row s="9589" customFormat="1" customHeight="1" ht="18.75">
      <c r="A313" s="1950"/>
      <c r="B313" s="1950"/>
      <c r="C313" s="539" t="s">
        <v>1157</v>
      </c>
      <c r="D313" s="2632"/>
      <c r="E313" s="2374"/>
      <c r="F313" s="2553"/>
      <c r="G313" s="2597"/>
      <c r="H313" s="1670"/>
      <c r="I313" s="821" t="s">
        <v>1156</v>
      </c>
      <c r="J313" s="741"/>
      <c r="K313" s="1670"/>
      <c r="L313" s="384"/>
      <c r="M313" s="511"/>
      <c r="N313" s="504"/>
      <c r="O313" s="1794"/>
      <c r="P313" s="1794"/>
      <c r="AH313" s="1801">
        <v>0</v>
      </c>
    </row>
    <row s="9589" customFormat="1" customHeight="1" ht="0.75">
      <c r="A314" s="1950"/>
      <c r="B314" s="1950"/>
      <c r="C314" s="539" t="s">
        <v>1166</v>
      </c>
      <c r="D314" s="2632"/>
      <c r="E314" s="2374"/>
      <c r="F314" s="2553"/>
      <c r="G314" s="570"/>
      <c r="H314" s="1670"/>
      <c r="I314" s="821"/>
      <c r="J314" s="741"/>
      <c r="K314" s="1670"/>
      <c r="L314" s="384"/>
      <c r="M314" s="511"/>
      <c r="N314" s="504"/>
      <c r="O314" s="1794"/>
      <c r="P314" s="1794"/>
      <c r="AH314" s="1801">
        <v>0</v>
      </c>
    </row>
    <row s="9589" customFormat="1" customHeight="1" ht="18.75" hidden="1">
      <c r="A315" s="1950" t="s">
        <v>253</v>
      </c>
      <c r="B315" s="1950" t="s">
        <v>254</v>
      </c>
      <c r="C315" s="539"/>
      <c r="D315" s="2632"/>
      <c r="E315" s="2374"/>
      <c r="F315" s="2553" t="str">
        <f>INDEX(PT_DIFFERENTIATION_VTAR,MATCH(A315,PT_DIFFERENTIATION_VTAR_ID,0))</f>
        <v>Тариф на горячую воду (горячее водоснабжение)</v>
      </c>
      <c r="G315" s="2597" t="str">
        <f>INDEX(PT_DIFFERENTIATION_NTAR,MATCH(B315,PT_DIFFERENTIATION_NTAR_ID,0))</f>
        <v/>
      </c>
      <c r="H315" s="2032"/>
      <c r="I315" s="1909"/>
      <c r="J315" s="1943"/>
      <c r="K315" s="1948"/>
      <c r="L315" s="2032" t="s">
        <v>309</v>
      </c>
      <c r="M315" s="511"/>
      <c r="N315" s="504"/>
      <c r="O315" s="1794"/>
      <c r="P315" s="1794"/>
      <c r="AH315" s="1801">
        <v>0</v>
      </c>
    </row>
    <row s="9589" customFormat="1" customHeight="1" ht="18.75" hidden="1">
      <c r="A316" s="1950"/>
      <c r="B316" s="1950"/>
      <c r="C316" s="539" t="s">
        <v>1157</v>
      </c>
      <c r="D316" s="2632"/>
      <c r="E316" s="2374"/>
      <c r="F316" s="2553"/>
      <c r="G316" s="2597"/>
      <c r="H316" s="1670"/>
      <c r="I316" s="821" t="s">
        <v>1156</v>
      </c>
      <c r="J316" s="741"/>
      <c r="K316" s="1670"/>
      <c r="L316" s="384"/>
      <c r="M316" s="511"/>
      <c r="N316" s="504"/>
      <c r="O316" s="1794"/>
      <c r="P316" s="1794"/>
      <c r="AH316" s="1801">
        <v>0</v>
      </c>
    </row>
    <row s="9589" customFormat="1" customHeight="1" ht="0.75" hidden="1">
      <c r="A317" s="1950"/>
      <c r="B317" s="1950"/>
      <c r="C317" s="539" t="s">
        <v>1166</v>
      </c>
      <c r="D317" s="2632"/>
      <c r="E317" s="2374"/>
      <c r="F317" s="2553"/>
      <c r="G317" s="570"/>
      <c r="H317" s="1670"/>
      <c r="I317" s="821"/>
      <c r="J317" s="741"/>
      <c r="K317" s="1670"/>
      <c r="L317" s="384"/>
      <c r="M317" s="511"/>
      <c r="N317" s="504"/>
      <c r="O317" s="1794"/>
      <c r="P317" s="1794"/>
      <c r="AH317" s="1801">
        <v>0</v>
      </c>
    </row>
    <row s="9589" customFormat="1" customHeight="1" ht="18.75" hidden="1">
      <c r="A318" s="1950" t="s">
        <v>258</v>
      </c>
      <c r="B318" s="1950" t="s">
        <v>259</v>
      </c>
      <c r="C318" s="539"/>
      <c r="D318" s="2632"/>
      <c r="E318" s="2374"/>
      <c r="F318" s="2553" t="str">
        <f>INDEX(PT_DIFFERENTIATION_VTAR,MATCH(A318,PT_DIFFERENTIATION_VTAR_ID,0))</f>
        <v>Тариф на транспортировку горячей воды</v>
      </c>
      <c r="G318" s="2597" t="str">
        <f>INDEX(PT_DIFFERENTIATION_NTAR,MATCH(B318,PT_DIFFERENTIATION_NTAR_ID,0))</f>
        <v/>
      </c>
      <c r="H318" s="2032"/>
      <c r="I318" s="1909"/>
      <c r="J318" s="1943"/>
      <c r="K318" s="1948"/>
      <c r="L318" s="2032" t="s">
        <v>309</v>
      </c>
      <c r="M318" s="511"/>
      <c r="N318" s="504"/>
      <c r="O318" s="1794"/>
      <c r="P318" s="1794"/>
      <c r="AH318" s="1801">
        <v>0</v>
      </c>
    </row>
    <row s="9589" customFormat="1" customHeight="1" ht="18.75" hidden="1">
      <c r="A319" s="1950"/>
      <c r="B319" s="1950"/>
      <c r="C319" s="539" t="s">
        <v>1157</v>
      </c>
      <c r="D319" s="2632"/>
      <c r="E319" s="2374"/>
      <c r="F319" s="2553"/>
      <c r="G319" s="2597"/>
      <c r="H319" s="1670"/>
      <c r="I319" s="821" t="s">
        <v>1156</v>
      </c>
      <c r="J319" s="741"/>
      <c r="K319" s="1670"/>
      <c r="L319" s="384"/>
      <c r="M319" s="511"/>
      <c r="N319" s="504"/>
      <c r="O319" s="1794"/>
      <c r="P319" s="1794"/>
      <c r="AH319" s="1801">
        <v>0</v>
      </c>
    </row>
    <row s="9589" customFormat="1" customHeight="1" ht="0.75" hidden="1">
      <c r="A320" s="1950"/>
      <c r="B320" s="1950"/>
      <c r="C320" s="539" t="s">
        <v>1166</v>
      </c>
      <c r="D320" s="2632"/>
      <c r="E320" s="2374"/>
      <c r="F320" s="2553"/>
      <c r="G320" s="570"/>
      <c r="H320" s="1670"/>
      <c r="I320" s="821"/>
      <c r="J320" s="741"/>
      <c r="K320" s="1670"/>
      <c r="L320" s="384"/>
      <c r="M320" s="511"/>
      <c r="N320" s="504"/>
      <c r="O320" s="1794"/>
      <c r="P320" s="1794"/>
      <c r="AH320" s="1801">
        <v>0</v>
      </c>
    </row>
    <row s="9589" customFormat="1" customHeight="1" ht="18.75" hidden="1">
      <c r="A321" s="1950" t="s">
        <v>263</v>
      </c>
      <c r="B321" s="1950" t="s">
        <v>264</v>
      </c>
      <c r="C321" s="539"/>
      <c r="D321" s="2632"/>
      <c r="E321" s="2374"/>
      <c r="F321" s="2553" t="str">
        <f>INDEX(PT_DIFFERENTIATION_VTAR,MATCH(A321,PT_DIFFERENTIATION_VTAR_ID,0))</f>
        <v>Тариф на подключение (технологическое присоединение) к централизованной системе горячего водоснабжения</v>
      </c>
      <c r="G321" s="2597" t="str">
        <f>INDEX(PT_DIFFERENTIATION_NTAR,MATCH(B321,PT_DIFFERENTIATION_NTAR_ID,0))</f>
        <v/>
      </c>
      <c r="H321" s="2032"/>
      <c r="I321" s="1909"/>
      <c r="J321" s="1943"/>
      <c r="K321" s="1948"/>
      <c r="L321" s="2032" t="s">
        <v>309</v>
      </c>
      <c r="M321" s="511"/>
      <c r="N321" s="504"/>
      <c r="O321" s="1794"/>
      <c r="P321" s="1794"/>
      <c r="AH321" s="1801">
        <v>0</v>
      </c>
    </row>
    <row s="9589" customFormat="1" customHeight="1" ht="18.75" hidden="1">
      <c r="A322" s="1950"/>
      <c r="B322" s="1950"/>
      <c r="C322" s="539" t="s">
        <v>1157</v>
      </c>
      <c r="D322" s="2632"/>
      <c r="E322" s="2374"/>
      <c r="F322" s="2553"/>
      <c r="G322" s="2597"/>
      <c r="H322" s="1670"/>
      <c r="I322" s="821" t="s">
        <v>1156</v>
      </c>
      <c r="J322" s="741"/>
      <c r="K322" s="1670"/>
      <c r="L322" s="384"/>
      <c r="M322" s="511"/>
      <c r="N322" s="504"/>
      <c r="O322" s="1794"/>
      <c r="P322" s="1794"/>
      <c r="AH322" s="1801">
        <v>0</v>
      </c>
    </row>
    <row s="9589" customFormat="1" customHeight="1" ht="0.75" hidden="1">
      <c r="A323" s="1950"/>
      <c r="B323" s="1950"/>
      <c r="C323" s="539" t="s">
        <v>1166</v>
      </c>
      <c r="D323" s="2632"/>
      <c r="E323" s="2374"/>
      <c r="F323" s="2553"/>
      <c r="G323" s="570"/>
      <c r="H323" s="1670"/>
      <c r="I323" s="821"/>
      <c r="J323" s="741"/>
      <c r="K323" s="1670"/>
      <c r="L323" s="384"/>
      <c r="M323" s="511"/>
      <c r="N323" s="504"/>
      <c r="O323" s="1794"/>
      <c r="P323" s="1794"/>
      <c r="AH323" s="1801">
        <v>0</v>
      </c>
    </row>
    <row s="9589" customFormat="1" customHeight="1" ht="18.75" hidden="1">
      <c r="A324" s="1950" t="s">
        <v>268</v>
      </c>
      <c r="B324" s="1950" t="s">
        <v>269</v>
      </c>
      <c r="C324" s="539"/>
      <c r="D324" s="2632"/>
      <c r="E324" s="2374"/>
      <c r="F324" s="2553" t="str">
        <f>INDEX(PT_DIFFERENTIATION_VTAR,MATCH(A324,PT_DIFFERENTIATION_VTAR_ID,0))</f>
        <v>Тариф на водоотведение</v>
      </c>
      <c r="G324" s="2597" t="str">
        <f>INDEX(PT_DIFFERENTIATION_NTAR,MATCH(B324,PT_DIFFERENTIATION_NTAR_ID,0))</f>
        <v/>
      </c>
      <c r="H324" s="2032"/>
      <c r="I324" s="1909"/>
      <c r="J324" s="1943"/>
      <c r="K324" s="1948"/>
      <c r="L324" s="2032" t="s">
        <v>309</v>
      </c>
      <c r="M324" s="511"/>
      <c r="N324" s="504"/>
      <c r="O324" s="1794"/>
      <c r="P324" s="1794"/>
      <c r="AH324" s="1801">
        <v>0</v>
      </c>
    </row>
    <row s="9589" customFormat="1" customHeight="1" ht="18.75" hidden="1">
      <c r="A325" s="1950"/>
      <c r="B325" s="1950"/>
      <c r="C325" s="539" t="s">
        <v>1157</v>
      </c>
      <c r="D325" s="2632"/>
      <c r="E325" s="2374"/>
      <c r="F325" s="2553"/>
      <c r="G325" s="2597"/>
      <c r="H325" s="1670"/>
      <c r="I325" s="821" t="s">
        <v>1156</v>
      </c>
      <c r="J325" s="741"/>
      <c r="K325" s="1670"/>
      <c r="L325" s="384"/>
      <c r="M325" s="511"/>
      <c r="N325" s="504"/>
      <c r="O325" s="1794"/>
      <c r="P325" s="1794"/>
      <c r="AH325" s="1801">
        <v>0</v>
      </c>
    </row>
    <row s="9589" customFormat="1" customHeight="1" ht="0.75" hidden="1">
      <c r="A326" s="1950"/>
      <c r="B326" s="1950"/>
      <c r="C326" s="539" t="s">
        <v>1166</v>
      </c>
      <c r="D326" s="2632"/>
      <c r="E326" s="2374"/>
      <c r="F326" s="2553"/>
      <c r="G326" s="570"/>
      <c r="H326" s="1670"/>
      <c r="I326" s="821"/>
      <c r="J326" s="741"/>
      <c r="K326" s="1670"/>
      <c r="L326" s="384"/>
      <c r="M326" s="511"/>
      <c r="N326" s="504"/>
      <c r="O326" s="1794"/>
      <c r="P326" s="1794"/>
      <c r="AH326" s="1801">
        <v>0</v>
      </c>
    </row>
    <row s="9589" customFormat="1" customHeight="1" ht="18.75" hidden="1">
      <c r="A327" s="1950" t="s">
        <v>273</v>
      </c>
      <c r="B327" s="1950" t="s">
        <v>274</v>
      </c>
      <c r="C327" s="539"/>
      <c r="D327" s="2632"/>
      <c r="E327" s="2374"/>
      <c r="F327" s="2553" t="str">
        <f>INDEX(PT_DIFFERENTIATION_VTAR,MATCH(A327,PT_DIFFERENTIATION_VTAR_ID,0))</f>
        <v>Тариф на транспортировку сточных вод</v>
      </c>
      <c r="G327" s="2597" t="str">
        <f>INDEX(PT_DIFFERENTIATION_NTAR,MATCH(B327,PT_DIFFERENTIATION_NTAR_ID,0))</f>
        <v/>
      </c>
      <c r="H327" s="2032"/>
      <c r="I327" s="1909"/>
      <c r="J327" s="1943"/>
      <c r="K327" s="1948"/>
      <c r="L327" s="2032" t="s">
        <v>309</v>
      </c>
      <c r="M327" s="511"/>
      <c r="N327" s="504"/>
      <c r="O327" s="1794"/>
      <c r="P327" s="1794"/>
      <c r="AH327" s="1801">
        <v>0</v>
      </c>
    </row>
    <row s="9589" customFormat="1" customHeight="1" ht="18.75" hidden="1">
      <c r="A328" s="1950"/>
      <c r="B328" s="1950"/>
      <c r="C328" s="539" t="s">
        <v>1157</v>
      </c>
      <c r="D328" s="2632"/>
      <c r="E328" s="2374"/>
      <c r="F328" s="2553"/>
      <c r="G328" s="2597"/>
      <c r="H328" s="1670"/>
      <c r="I328" s="821" t="s">
        <v>1156</v>
      </c>
      <c r="J328" s="741"/>
      <c r="K328" s="1670"/>
      <c r="L328" s="384"/>
      <c r="M328" s="511"/>
      <c r="N328" s="504"/>
      <c r="O328" s="1794"/>
      <c r="P328" s="1794"/>
      <c r="AH328" s="1801">
        <v>0</v>
      </c>
    </row>
    <row s="9589" customFormat="1" customHeight="1" ht="0.75" hidden="1">
      <c r="A329" s="1950"/>
      <c r="B329" s="1950"/>
      <c r="C329" s="539" t="s">
        <v>1166</v>
      </c>
      <c r="D329" s="2632"/>
      <c r="E329" s="2374"/>
      <c r="F329" s="2553"/>
      <c r="G329" s="570"/>
      <c r="H329" s="1670"/>
      <c r="I329" s="821"/>
      <c r="J329" s="741"/>
      <c r="K329" s="1670"/>
      <c r="L329" s="384"/>
      <c r="M329" s="511"/>
      <c r="N329" s="504"/>
      <c r="O329" s="1794"/>
      <c r="P329" s="1794"/>
      <c r="AH329" s="1801">
        <v>0</v>
      </c>
    </row>
    <row s="9589" customFormat="1" customHeight="1" ht="18.75" hidden="1">
      <c r="A330" s="1950" t="s">
        <v>278</v>
      </c>
      <c r="B330" s="1950" t="s">
        <v>279</v>
      </c>
      <c r="C330" s="539"/>
      <c r="D330" s="2632"/>
      <c r="E330" s="2374"/>
      <c r="F330" s="2553" t="str">
        <f>INDEX(PT_DIFFERENTIATION_VTAR,MATCH(A330,PT_DIFFERENTIATION_VTAR_ID,0))</f>
        <v>Тариф на подключение (технологическое присоединение) к централизованной системе водоотведения</v>
      </c>
      <c r="G330" s="2597" t="str">
        <f>INDEX(PT_DIFFERENTIATION_NTAR,MATCH(B330,PT_DIFFERENTIATION_NTAR_ID,0))</f>
        <v/>
      </c>
      <c r="H330" s="2032"/>
      <c r="I330" s="1909"/>
      <c r="J330" s="1943"/>
      <c r="K330" s="1948"/>
      <c r="L330" s="2032" t="s">
        <v>309</v>
      </c>
      <c r="M330" s="511"/>
      <c r="N330" s="504"/>
      <c r="O330" s="1794"/>
      <c r="P330" s="1794"/>
      <c r="AH330" s="1801">
        <v>0</v>
      </c>
    </row>
    <row s="9589" customFormat="1" customHeight="1" ht="18.75" hidden="1">
      <c r="A331" s="1950"/>
      <c r="B331" s="1950"/>
      <c r="C331" s="539" t="s">
        <v>1157</v>
      </c>
      <c r="D331" s="2632"/>
      <c r="E331" s="2374"/>
      <c r="F331" s="2553"/>
      <c r="G331" s="2597"/>
      <c r="H331" s="1670"/>
      <c r="I331" s="821" t="s">
        <v>1156</v>
      </c>
      <c r="J331" s="741"/>
      <c r="K331" s="1670"/>
      <c r="L331" s="384"/>
      <c r="M331" s="511"/>
      <c r="N331" s="504"/>
      <c r="O331" s="1794"/>
      <c r="P331" s="1794"/>
      <c r="AH331" s="1801">
        <v>0</v>
      </c>
    </row>
    <row s="9589" customFormat="1" customHeight="1" ht="1.05">
      <c r="A332" s="1950"/>
      <c r="B332" s="1950"/>
      <c r="C332" s="539" t="s">
        <v>1166</v>
      </c>
      <c r="D332" s="2632"/>
      <c r="E332" s="2374"/>
      <c r="F332" s="2553"/>
      <c r="G332" s="570"/>
      <c r="H332" s="1670"/>
      <c r="I332" s="821"/>
      <c r="J332" s="741"/>
      <c r="K332" s="1670"/>
      <c r="L332" s="384"/>
      <c r="M332" s="511"/>
      <c r="N332" s="504"/>
      <c r="O332" s="1794"/>
      <c r="P332" s="1794"/>
      <c r="AH332" s="1801">
        <v>1</v>
      </c>
    </row>
    <row s="12690" customFormat="1" customHeight="1" ht="3">
      <c r="A333" s="1950"/>
      <c r="B333" s="1950"/>
      <c r="C333" s="1951"/>
      <c r="E333" s="572"/>
      <c r="F333" s="572"/>
      <c r="G333" s="572"/>
      <c r="H333" s="572"/>
      <c r="I333" s="572"/>
      <c r="J333" s="572"/>
      <c r="K333" s="572"/>
      <c r="L333" s="572"/>
      <c r="M333" s="572"/>
      <c r="O333" s="366"/>
      <c r="P333" s="366"/>
      <c r="AH333" s="310">
        <v>3</v>
      </c>
    </row>
    <row customHeight="1" ht="26.25">
      <c r="E334" s="372"/>
      <c r="F334" s="2455"/>
      <c r="G334" s="2455"/>
      <c r="H334" s="2455"/>
      <c r="I334" s="2455"/>
      <c r="J334" s="2455"/>
      <c r="K334" s="2455"/>
      <c r="L334" s="2455"/>
      <c r="M334" s="2455"/>
      <c r="AH334" s="544">
        <v>25</v>
      </c>
    </row>
    <row customHeight="1" ht="14.25" hidden="1">
      <c r="A335" s="1949" t="s">
        <v>81</v>
      </c>
      <c r="B335" s="1949">
        <v>0</v>
      </c>
      <c r="C335" s="539">
        <v>0</v>
      </c>
      <c r="D335" s="514">
        <v>3</v>
      </c>
      <c r="E335" s="544">
        <v>6</v>
      </c>
      <c r="F335" s="544">
        <v>46</v>
      </c>
      <c r="G335" s="544">
        <v>35</v>
      </c>
      <c r="H335" s="544">
        <v>3</v>
      </c>
      <c r="I335" s="544">
        <v>11</v>
      </c>
      <c r="J335" s="544">
        <v>11</v>
      </c>
      <c r="K335" s="544">
        <v>35</v>
      </c>
      <c r="L335" s="544">
        <v>35</v>
      </c>
      <c r="M335" s="544">
        <v>84</v>
      </c>
      <c r="N335" s="544">
        <v>10</v>
      </c>
      <c r="O335" s="520">
        <v>10</v>
      </c>
      <c r="P335" s="520">
        <v>10</v>
      </c>
      <c r="Q335" s="544">
        <v>10</v>
      </c>
      <c r="R335" s="544">
        <v>10</v>
      </c>
      <c r="S335" s="544">
        <v>10</v>
      </c>
      <c r="T335" s="544">
        <v>10</v>
      </c>
      <c r="U335" s="544">
        <v>10</v>
      </c>
      <c r="V335" s="544">
        <v>10</v>
      </c>
      <c r="W335" s="544">
        <v>10</v>
      </c>
      <c r="X335" s="544">
        <v>10</v>
      </c>
      <c r="Y335" s="544">
        <v>10</v>
      </c>
      <c r="Z335" s="544">
        <v>10</v>
      </c>
      <c r="AA335" s="544">
        <v>10</v>
      </c>
      <c r="AB335" s="544">
        <v>10</v>
      </c>
      <c r="AC335" s="544">
        <v>10</v>
      </c>
      <c r="AD335" s="544">
        <v>10</v>
      </c>
      <c r="AE335" s="544">
        <v>10</v>
      </c>
      <c r="AF335" s="544">
        <v>10</v>
      </c>
      <c r="AG335" s="544">
        <v>10</v>
      </c>
      <c r="AH335" s="544">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3"/>
    <mergeCell ref="G55:G56"/>
    <mergeCell ref="G58:G59"/>
    <mergeCell ref="M212:M215"/>
    <mergeCell ref="M88:M91"/>
    <mergeCell ref="F149:L149"/>
    <mergeCell ref="M150:M153"/>
    <mergeCell ref="F211:L211"/>
    <mergeCell ref="F51:F54"/>
    <mergeCell ref="F55:F57"/>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D45:D47"/>
    <mergeCell ref="E45:E47"/>
    <mergeCell ref="F45:F47"/>
    <mergeCell ref="D64:D66"/>
    <mergeCell ref="E64:E66"/>
    <mergeCell ref="F64:F66"/>
    <mergeCell ref="D67:D69"/>
    <mergeCell ref="E67:E69"/>
    <mergeCell ref="F67:F69"/>
    <mergeCell ref="D58:D60"/>
    <mergeCell ref="E58:E60"/>
    <mergeCell ref="F58:F60"/>
    <mergeCell ref="D61:D63"/>
    <mergeCell ref="E61:E63"/>
    <mergeCell ref="F61:F63"/>
    <mergeCell ref="D51:D54"/>
    <mergeCell ref="E51:E54"/>
    <mergeCell ref="D55:D57"/>
    <mergeCell ref="E55:E57"/>
    <mergeCell ref="D48:D50"/>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8"/>
    <mergeCell ref="E115:E118"/>
    <mergeCell ref="F115:F118"/>
    <mergeCell ref="D103:D105"/>
    <mergeCell ref="E103:E105"/>
    <mergeCell ref="F103:F105"/>
    <mergeCell ref="D106:D108"/>
    <mergeCell ref="E106:E108"/>
    <mergeCell ref="F106:F108"/>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3:D195"/>
    <mergeCell ref="E193:E195"/>
    <mergeCell ref="F193:F195"/>
    <mergeCell ref="D184:D186"/>
    <mergeCell ref="E184:E186"/>
    <mergeCell ref="F184:F186"/>
    <mergeCell ref="D187:D189"/>
    <mergeCell ref="E187:E189"/>
    <mergeCell ref="F187:F189"/>
    <mergeCell ref="D177:D180"/>
    <mergeCell ref="E177:E180"/>
    <mergeCell ref="F177: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69:D271"/>
    <mergeCell ref="E269:E271"/>
    <mergeCell ref="F269:F271"/>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3:M276"/>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6:G277"/>
    <mergeCell ref="G61:G62"/>
    <mergeCell ref="G64:G65"/>
    <mergeCell ref="G67:G68"/>
    <mergeCell ref="G70:G71"/>
    <mergeCell ref="G73:G74"/>
    <mergeCell ref="G76:G77"/>
    <mergeCell ref="G79:G80"/>
    <mergeCell ref="G82:G83"/>
    <mergeCell ref="G88:G89"/>
    <mergeCell ref="G318:G319"/>
    <mergeCell ref="G321:G322"/>
    <mergeCell ref="G324:G325"/>
    <mergeCell ref="G327:G328"/>
    <mergeCell ref="G309:G310"/>
    <mergeCell ref="G312:G313"/>
    <mergeCell ref="G315:G316"/>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6:G107"/>
    <mergeCell ref="G109:G110"/>
    <mergeCell ref="G115:G117"/>
    <mergeCell ref="G119:G120"/>
    <mergeCell ref="G233:G234"/>
    <mergeCell ref="G239:G240"/>
    <mergeCell ref="G242:G243"/>
    <mergeCell ref="G245:G246"/>
    <mergeCell ref="G202:G203"/>
    <mergeCell ref="G208:G209"/>
    <mergeCell ref="G212:G213"/>
    <mergeCell ref="G215:G216"/>
    <mergeCell ref="G218:G219"/>
    <mergeCell ref="G168:G169"/>
    <mergeCell ref="G171:G172"/>
    <mergeCell ref="G177:G179"/>
    <mergeCell ref="G221:G222"/>
    <mergeCell ref="G224:G225"/>
    <mergeCell ref="G227:G228"/>
    <mergeCell ref="G184:G185"/>
    <mergeCell ref="G187:G188"/>
    <mergeCell ref="G190:G191"/>
    <mergeCell ref="G193:G194"/>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5 I58:J58 I61:J61 I64:J64 I67:J67 I70:J70 I73:J73 I76:J76 I79:J79 I212:J212 I215:J215 I218:J218 I221:J221 I224:J224 I227:J227 I230:J230 I233:J233 I239:J239 I242:J242 I245:J245 I248:J248 I251:J251 I254:J254 I257:J257 I260:J260 I263:J263 I8:J8 I82:J82 I146:J146 I91:J91 I94:J94 I97:J97 I100:J100 I103:J103 I106:J106 I109:J109 I115:J116 I119:J119 I122:J122 I125:J125 I128:J128 I131:J131 I134:J134 I137:J137 I140:J140 I143:J143 I150:J150 I88:J88 I153:J153 I156:J156 I159:J159 I162:J162 I165:J165 I168:J168 I171:J171 I177:J178 I181:J181 I184:J184 I187:J187 I190:J190 I196:J196 I199:J199 I202:J202 I205:J205 I208:J208 I193:J193 I266:J266 I269:J269 I273:J273 I276:J276 I279:J279 I282:J282 I285:J285 I288:J288 I291:J291 I294:J294 I300:J300 I303:J303 I306:J306 I309:J309 I312:J312 I315:J315 I318:J318 I321:J321 I324:J324 I327:J327 I330:J330 I2:J2 I5:J5 I48:J48 I112:J112 I174:J174 I236:J236 I297:J2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3:M274">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 K10 K88 K143 K140 K137 K134 K131 K128 K125 K122 K119 K115:K116 K109 K106 K103 K100 K97 K94 K91 K150 K146 K153 K156 K159 K162 K165 K168 K171 K177:K178 K181 K184 K187 K190 K196 K199 K202 K205 K208 K193 K269 K273 K276 K279 K282 K285 K288 K291 K294 K300 K303 K306 K309 K312 K315 K318 K321 K324 K327 K330 K5 K112 K174 K236 K297">
      <formula1>-9.99999999999999E+23</formula1>
      <formula2>9.99999999999999E+23</formula2>
    </dataValidation>
  </dataValidations>
  <hyperlinks>
    <hyperlink ref="L86" r:id="rId2" xr:uid="{541983FB-E8F2-5FC3-1084-E590FB07A6F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6B85A-4149-F64F-BEA9-6CDB77E0E7C7}" mc:Ignorable="x14ac xr xr2 xr3">
  <sheetPr>
    <tabColor theme="6" tint="0.4"/>
  </sheetPr>
  <dimension ref="A1:R17"/>
  <sheetViews>
    <sheetView topLeftCell="A1" showGridLines="0" zoomScale="90" workbookViewId="0">
      <selection activeCell="E11" sqref="E11"/>
    </sheetView>
  </sheetViews>
  <sheetFormatPr defaultColWidth="10.57421875" customHeight="1" defaultRowHeight="14.25"/>
  <cols>
    <col min="1" max="1" style="10533" width="9.140625" hidden="1" customWidth="1"/>
    <col min="2" max="2" style="9666" width="9.140625" hidden="1" customWidth="1"/>
    <col min="3" max="3" style="10534" width="3.00390625" customWidth="1"/>
    <col min="4" max="4" style="9589" width="6.00390625" customWidth="1"/>
    <col min="5" max="5" style="9589" width="53.00390625" customWidth="1"/>
    <col min="6" max="6" style="9589" width="35.00390625" customWidth="1"/>
    <col min="7" max="7" style="9589" width="55.8515625" customWidth="1"/>
    <col min="8" max="8" style="9589" width="89.00390625" customWidth="1"/>
    <col min="9" max="9" style="9589" width="10.00390625" customWidth="1"/>
    <col min="10" max="11" style="9756" width="10.00390625" customWidth="1"/>
    <col min="12" max="17" style="9589" width="10.00390625" customWidth="1"/>
    <col min="18" max="18" style="9589" width="10.57421875" hidden="1"/>
  </cols>
  <sheetData>
    <row customHeight="1" ht="22.5" hidden="1">
      <c r="N1" s="425"/>
      <c r="O1" s="425"/>
      <c r="Q1" s="425"/>
      <c r="R1" s="544" t="s">
        <v>14</v>
      </c>
    </row>
    <row s="9589" customFormat="1" customHeight="1" ht="18.75" hidden="1">
      <c r="A2" s="272"/>
      <c r="B2" s="1330"/>
      <c r="C2" s="1900" t="s">
        <v>489</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625"/>
      <c r="F5" s="2625"/>
      <c r="G5" s="2626"/>
      <c r="H5" s="436"/>
      <c r="R5" s="544">
        <v>33</v>
      </c>
    </row>
    <row s="9589" customFormat="1" customHeight="1" ht="18">
      <c r="A6" s="1839"/>
      <c r="B6" s="1330"/>
      <c r="C6" s="546"/>
      <c r="D6" s="2627" t="str">
        <f>IF(org=0,"Не определено",org)</f>
        <v>МУП "Водоканал"</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303</v>
      </c>
      <c r="E8" s="2379"/>
      <c r="F8" s="2379"/>
      <c r="G8" s="2379"/>
      <c r="H8" s="2559" t="s">
        <v>304</v>
      </c>
      <c r="R8" s="544">
        <v>14</v>
      </c>
    </row>
    <row customHeight="1" ht="24">
      <c r="C9" s="546"/>
      <c r="D9" s="556" t="s">
        <v>87</v>
      </c>
      <c r="E9" s="278" t="s">
        <v>305</v>
      </c>
      <c r="F9" s="278" t="s">
        <v>306</v>
      </c>
      <c r="G9" s="278" t="s">
        <v>393</v>
      </c>
      <c r="H9" s="2559"/>
      <c r="R9" s="544">
        <v>23</v>
      </c>
    </row>
    <row customHeight="1" ht="72.75">
      <c r="A10" s="513"/>
      <c r="C10" s="546"/>
      <c r="D10" s="317" t="s">
        <v>108</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427" t="s">
        <v>1167</v>
      </c>
      <c r="G10" s="8786" t="s">
        <v>1168</v>
      </c>
      <c r="H10" s="2339" t="s">
        <v>1169</v>
      </c>
      <c r="R10" s="544">
        <v>14</v>
      </c>
    </row>
    <row customHeight="1" ht="39.75">
      <c r="A11" s="513"/>
      <c r="C11" s="546"/>
      <c r="D11" s="317" t="s">
        <v>109</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427" t="s">
        <v>1170</v>
      </c>
      <c r="G11" s="8786" t="s">
        <v>1168</v>
      </c>
      <c r="H11" s="2340"/>
      <c r="R11" s="544">
        <v>14</v>
      </c>
    </row>
    <row customHeight="1" ht="39.75">
      <c r="A12" s="272"/>
      <c r="C12" s="557"/>
      <c r="D12" s="317" t="s">
        <v>89</v>
      </c>
      <c r="E12" s="558" t="str">
        <f>"Сведения о планировании закупочных процедур"&amp;IF(TEMPLATE_SPHERE="TKO"," &lt;1&gt;","")</f>
        <v>Сведения о планировании закупочных процедур</v>
      </c>
      <c r="F12" s="427" t="s">
        <v>1171</v>
      </c>
      <c r="G12" s="8786" t="s">
        <v>1172</v>
      </c>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57.5">
      <c r="A13" s="272"/>
      <c r="C13" s="557"/>
      <c r="D13" s="317" t="s">
        <v>90</v>
      </c>
      <c r="E13" s="558" t="str">
        <f>"Сведения о результатах проведения закупочных процедур"&amp;IF(TEMPLATE_SPHERE="TKO"," &lt;1&gt;","")</f>
        <v>Сведения о результатах проведения закупочных процедур</v>
      </c>
      <c r="F13" s="427" t="s">
        <v>1173</v>
      </c>
      <c r="G13" s="8786" t="s">
        <v>1174</v>
      </c>
      <c r="H13" s="2340"/>
      <c r="I13" s="520"/>
      <c r="K13" s="544"/>
      <c r="R13" s="544">
        <v>14</v>
      </c>
    </row>
    <row customHeight="1" ht="14.699999999999998">
      <c r="A14" s="513"/>
      <c r="C14" s="546"/>
      <c r="D14" s="517"/>
      <c r="E14" s="565" t="s">
        <v>325</v>
      </c>
      <c r="F14" s="519"/>
      <c r="G14" s="371"/>
      <c r="H14" s="2341"/>
      <c r="R14" s="544">
        <v>14</v>
      </c>
    </row>
    <row s="9589"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81</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CCEA8E8-4C06-B38A-6FF4-5C3620BDA187}"/>
    <hyperlink ref="G11" r:id="rId3" xr:uid="{0EC34936-3AD1-5BDE-2F5C-21150DB55176}"/>
    <hyperlink ref="G12" r:id="rId4" xr:uid="{CBD18E43-6F76-C5BB-5839-B1FC04B13391}"/>
    <hyperlink ref="G13" r:id="rId5" xr:uid="{B47A1CC9-A646-FC9F-8833-8B0AB0AD64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102A3-CEBC-E3F5-38A2-CAB7E003C002}" mc:Ignorable="x14ac xr xr2 xr3">
  <sheetPr>
    <tabColor rgb="FFCCCCFF"/>
  </sheetPr>
  <dimension ref="A1:AR146"/>
  <sheetViews>
    <sheetView topLeftCell="A1" showGridLines="0" zoomScale="90" workbookViewId="0">
      <selection activeCell="J94" sqref="J94:J97"/>
    </sheetView>
  </sheetViews>
  <sheetFormatPr defaultColWidth="9.140625" customHeight="1" defaultRowHeight="11.25"/>
  <cols>
    <col min="1" max="2" style="9756" width="3.7109375" hidden="1" customWidth="1"/>
    <col min="3" max="3" style="9793" width="3.00390625" customWidth="1"/>
    <col min="4" max="4" style="9793" width="6.00390625" customWidth="1"/>
    <col min="5" max="5" style="9793" width="42.00390625" customWidth="1"/>
    <col min="6" max="6" style="9793" width="15.00390625" customWidth="1"/>
    <col min="7" max="7" style="9793" width="42.00390625" customWidth="1"/>
    <col min="8" max="8" style="9793" width="3.00390625" customWidth="1"/>
    <col min="9" max="9" style="9793" width="5.00390625" customWidth="1"/>
    <col min="10" max="10" style="9793" width="47.00390625" customWidth="1"/>
    <col min="11" max="12" style="9793" width="3.00390625" customWidth="1"/>
    <col min="13" max="13" style="9793" width="5.00390625" customWidth="1"/>
    <col min="14" max="14" style="9793" width="28.00390625" customWidth="1"/>
    <col min="15" max="16" style="9793" width="3.00390625" customWidth="1"/>
    <col min="17" max="17" style="9793" width="5.00390625" customWidth="1"/>
    <col min="18" max="18" style="9793" width="34.00390625" customWidth="1"/>
    <col min="19" max="20" style="9793" width="3.7109375" hidden="1" customWidth="1"/>
    <col min="21" max="21" style="9793" width="5.7109375" hidden="1" customWidth="1"/>
    <col min="22" max="22" style="9793" width="34.421875" hidden="1" customWidth="1"/>
    <col min="23" max="23" style="9793" width="30.00390625" customWidth="1"/>
    <col min="24" max="24" style="9793" width="3.00390625" customWidth="1"/>
    <col min="25" max="28" style="9845" width="9.8515625" hidden="1" customWidth="1"/>
    <col min="29" max="29" style="9845" width="27.00390625" hidden="1" customWidth="1"/>
    <col min="30" max="30" style="9845" width="10.57421875" hidden="1" customWidth="1"/>
    <col min="31" max="31" style="9845" width="10.7109375" hidden="1" customWidth="1"/>
    <col min="32" max="32" style="9845" width="10.00390625" hidden="1" customWidth="1"/>
    <col min="33" max="33" style="9845" width="12.8515625" hidden="1" customWidth="1"/>
    <col min="34" max="34" style="9845" width="24.421875" hidden="1" customWidth="1"/>
    <col min="35" max="35" style="9845" width="15.8515625" hidden="1" customWidth="1"/>
    <col min="36" max="36" style="9845" width="19.421875" hidden="1" customWidth="1"/>
    <col min="37" max="37" style="9845" width="11.00390625" hidden="1" customWidth="1"/>
    <col min="38" max="38" style="9845" width="23.57421875" hidden="1" customWidth="1"/>
    <col min="39" max="39" style="9845" width="23.8515625" hidden="1" customWidth="1"/>
    <col min="40" max="40" style="9845" width="25.28125" hidden="1" customWidth="1"/>
    <col min="41" max="41" style="9845" width="16.8515625" hidden="1" customWidth="1"/>
    <col min="42" max="42" style="9845" width="29.57421875" hidden="1" customWidth="1"/>
    <col min="43" max="43" style="9845" width="29.8515625" hidden="1" customWidth="1"/>
    <col min="44" max="44" style="9793" width="9.140625" hidden="1"/>
  </cols>
  <sheetData>
    <row customHeight="1" ht="11.25" hidden="1">
      <c r="A1" s="326"/>
      <c r="AR1" s="274" t="s">
        <v>14</v>
      </c>
    </row>
    <row customHeight="1" ht="11.25" hidden="1">
      <c r="AR2" s="274">
        <v>0</v>
      </c>
    </row>
    <row customHeight="1" ht="11.25" hidden="1">
      <c r="AR3" s="274">
        <v>0</v>
      </c>
    </row>
    <row customHeight="1" ht="3">
      <c r="AR4" s="274">
        <v>3</v>
      </c>
    </row>
    <row s="9764"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9764" customFormat="1" customHeight="1" ht="14.699999999999998">
      <c r="A6" s="755"/>
      <c r="B6" s="755"/>
      <c r="C6" s="755"/>
      <c r="D6" s="2333" t="str">
        <f>IF(org=0,"Не определено",org)</f>
        <v>МУП "Водоканал"</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9858"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9764"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87</v>
      </c>
      <c r="E9" s="2271" t="s">
        <v>121</v>
      </c>
      <c r="F9" s="2273"/>
      <c r="G9" s="2297" t="s">
        <v>104</v>
      </c>
      <c r="H9" s="2297" t="s">
        <v>87</v>
      </c>
      <c r="I9" s="2297"/>
      <c r="J9" s="2297" t="s">
        <v>122</v>
      </c>
      <c r="K9" s="2325" t="s">
        <v>123</v>
      </c>
      <c r="L9" s="2325"/>
      <c r="M9" s="2325"/>
      <c r="N9" s="2325"/>
      <c r="O9" s="2325" t="s">
        <v>124</v>
      </c>
      <c r="P9" s="2325"/>
      <c r="Q9" s="2325"/>
      <c r="R9" s="2325"/>
      <c r="S9" s="2325" t="s">
        <v>125</v>
      </c>
      <c r="T9" s="2325"/>
      <c r="U9" s="2325"/>
      <c r="V9" s="2325"/>
      <c r="W9" s="2297" t="s">
        <v>126</v>
      </c>
      <c r="AR9" s="274">
        <v>27</v>
      </c>
    </row>
    <row customHeight="1" ht="31.5">
      <c r="D10" s="2297"/>
      <c r="E10" s="1454" t="s">
        <v>88</v>
      </c>
      <c r="F10" s="1454" t="s">
        <v>127</v>
      </c>
      <c r="G10" s="2297"/>
      <c r="H10" s="2297"/>
      <c r="I10" s="2297"/>
      <c r="J10" s="2297"/>
      <c r="K10" s="280" t="s">
        <v>107</v>
      </c>
      <c r="L10" s="2297" t="s">
        <v>87</v>
      </c>
      <c r="M10" s="2297"/>
      <c r="N10" s="280" t="s">
        <v>128</v>
      </c>
      <c r="O10" s="280" t="s">
        <v>107</v>
      </c>
      <c r="P10" s="2297" t="s">
        <v>87</v>
      </c>
      <c r="Q10" s="2297"/>
      <c r="R10" s="280" t="s">
        <v>128</v>
      </c>
      <c r="S10" s="453" t="s">
        <v>107</v>
      </c>
      <c r="T10" s="2297" t="s">
        <v>87</v>
      </c>
      <c r="U10" s="2297"/>
      <c r="V10" s="453" t="s">
        <v>88</v>
      </c>
      <c r="W10" s="2297"/>
      <c r="Z10" s="1429" t="s">
        <v>129</v>
      </c>
      <c r="AA10" s="1429" t="s">
        <v>130</v>
      </c>
      <c r="AB10" s="1429" t="s">
        <v>131</v>
      </c>
      <c r="AC10" s="1429" t="s">
        <v>132</v>
      </c>
      <c r="AD10" s="1429" t="s">
        <v>133</v>
      </c>
      <c r="AE10" s="1429" t="s">
        <v>134</v>
      </c>
      <c r="AF10" s="1429" t="s">
        <v>135</v>
      </c>
      <c r="AG10" s="1429" t="s">
        <v>136</v>
      </c>
      <c r="AH10" s="1429" t="s">
        <v>137</v>
      </c>
      <c r="AI10" s="1429" t="s">
        <v>138</v>
      </c>
      <c r="AJ10" s="1429" t="s">
        <v>139</v>
      </c>
      <c r="AK10" s="1429" t="s">
        <v>140</v>
      </c>
      <c r="AL10" s="1429" t="s">
        <v>141</v>
      </c>
      <c r="AM10" s="1429" t="s">
        <v>142</v>
      </c>
      <c r="AN10" s="1429" t="s">
        <v>143</v>
      </c>
      <c r="AO10" s="1429" t="s">
        <v>144</v>
      </c>
      <c r="AP10" s="1429" t="s">
        <v>145</v>
      </c>
      <c r="AQ10" s="1429" t="s">
        <v>146</v>
      </c>
      <c r="AR10" s="274">
        <v>30</v>
      </c>
    </row>
    <row s="9756" customFormat="1" customHeight="1" ht="12" hidden="1">
      <c r="D11" s="1419" t="s">
        <v>108</v>
      </c>
      <c r="E11" s="1419" t="s">
        <v>109</v>
      </c>
      <c r="F11" s="1419"/>
      <c r="G11" s="1419" t="s">
        <v>89</v>
      </c>
      <c r="H11" s="2326" t="s">
        <v>110</v>
      </c>
      <c r="I11" s="2326"/>
      <c r="J11" s="1419" t="s">
        <v>91</v>
      </c>
      <c r="K11" s="1419" t="s">
        <v>92</v>
      </c>
      <c r="L11" s="2326" t="s">
        <v>111</v>
      </c>
      <c r="M11" s="2326"/>
      <c r="N11" s="1419" t="s">
        <v>147</v>
      </c>
      <c r="O11" s="1419" t="s">
        <v>148</v>
      </c>
      <c r="P11" s="2326" t="s">
        <v>149</v>
      </c>
      <c r="Q11" s="2326"/>
      <c r="R11" s="1419" t="s">
        <v>150</v>
      </c>
      <c r="S11" s="1419" t="s">
        <v>149</v>
      </c>
      <c r="T11" s="2326" t="s">
        <v>150</v>
      </c>
      <c r="U11" s="2326"/>
      <c r="V11" s="1419" t="s">
        <v>151</v>
      </c>
      <c r="W11" s="1419" t="s">
        <v>152</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9793" customFormat="1" customHeight="1" ht="17.25" hidden="1">
      <c r="A13" s="491"/>
      <c r="C13" s="379"/>
      <c r="D13" s="2305">
        <v>1</v>
      </c>
      <c r="E13" s="2313" t="s">
        <v>153</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154</v>
      </c>
      <c r="AD13" s="1437" t="s">
        <v>155</v>
      </c>
      <c r="AE13" s="1437" t="s">
        <v>156</v>
      </c>
      <c r="AF13" s="1437" t="s">
        <v>157</v>
      </c>
      <c r="AG13" s="1437" t="s">
        <v>158</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9793"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9793"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9793"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9793"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9793"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159</v>
      </c>
      <c r="AD18" s="1437" t="s">
        <v>160</v>
      </c>
      <c r="AE18" s="1437" t="s">
        <v>161</v>
      </c>
      <c r="AF18" s="1437" t="s">
        <v>162</v>
      </c>
      <c r="AG18" s="1437" t="s">
        <v>163</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9793"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9793"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9793"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9793"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9793" customFormat="1" customHeight="1" ht="17.25" hidden="1">
      <c r="A23" s="491"/>
      <c r="C23" s="379"/>
      <c r="D23" s="2305">
        <v>2</v>
      </c>
      <c r="E23" s="2313" t="s">
        <v>164</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159</v>
      </c>
      <c r="AD23" s="1437" t="s">
        <v>160</v>
      </c>
      <c r="AE23" s="1437" t="s">
        <v>161</v>
      </c>
      <c r="AF23" s="1437" t="s">
        <v>162</v>
      </c>
      <c r="AG23" s="1437" t="s">
        <v>163</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9793"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9793"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9793"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9793"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9793" customFormat="1" customHeight="1" ht="17.25" hidden="1">
      <c r="A28" s="491"/>
      <c r="C28" s="379"/>
      <c r="D28" s="2305">
        <v>3</v>
      </c>
      <c r="E28" s="2313" t="s">
        <v>165</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166</v>
      </c>
      <c r="AD28" s="1437" t="s">
        <v>167</v>
      </c>
      <c r="AE28" s="1437" t="s">
        <v>168</v>
      </c>
      <c r="AF28" s="1437" t="s">
        <v>169</v>
      </c>
      <c r="AG28" s="1437" t="s">
        <v>170</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9793"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9793"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9793"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9793"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9793" customFormat="1" customHeight="1" ht="17.25" hidden="1">
      <c r="A33" s="491"/>
      <c r="C33" s="379"/>
      <c r="D33" s="2305">
        <v>4</v>
      </c>
      <c r="E33" s="2313" t="s">
        <v>171</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172</v>
      </c>
      <c r="AD33" s="1437" t="s">
        <v>173</v>
      </c>
      <c r="AE33" s="1437" t="s">
        <v>174</v>
      </c>
      <c r="AF33" s="1437" t="s">
        <v>175</v>
      </c>
      <c r="AG33" s="1437" t="s">
        <v>176</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9793"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9793"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9793"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9793"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9793" customFormat="1" customHeight="1" ht="17.25" hidden="1">
      <c r="A38" s="491"/>
      <c r="C38" s="379"/>
      <c r="D38" s="2305">
        <v>5</v>
      </c>
      <c r="E38" s="2313" t="s">
        <v>177</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178</v>
      </c>
      <c r="AD38" s="1437" t="s">
        <v>179</v>
      </c>
      <c r="AE38" s="1437" t="s">
        <v>180</v>
      </c>
      <c r="AF38" s="1437" t="s">
        <v>181</v>
      </c>
      <c r="AG38" s="1437" t="s">
        <v>182</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9793"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9793"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9793"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9793"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9793" customFormat="1" customHeight="1" ht="17.25" hidden="1">
      <c r="A43" s="491"/>
      <c r="C43" s="379"/>
      <c r="D43" s="2305">
        <v>6</v>
      </c>
      <c r="E43" s="2313" t="s">
        <v>183</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184</v>
      </c>
      <c r="AD43" s="1437" t="s">
        <v>185</v>
      </c>
      <c r="AE43" s="1437" t="s">
        <v>186</v>
      </c>
      <c r="AF43" s="1437" t="s">
        <v>187</v>
      </c>
      <c r="AG43" s="1437" t="s">
        <v>188</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9793"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9793"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9793"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9793"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9793" customFormat="1" customHeight="1" ht="17.25" hidden="1">
      <c r="A48" s="491"/>
      <c r="C48" s="379"/>
      <c r="D48" s="2336">
        <v>7</v>
      </c>
      <c r="E48" s="2339" t="s">
        <v>189</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190</v>
      </c>
      <c r="AD48" s="1437" t="s">
        <v>191</v>
      </c>
      <c r="AE48" s="1437" t="s">
        <v>192</v>
      </c>
      <c r="AF48" s="1437" t="s">
        <v>193</v>
      </c>
      <c r="AG48" s="1437" t="s">
        <v>194</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9793"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9793"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9793"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9793"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9793" customFormat="1" customHeight="1" ht="17.25" hidden="1">
      <c r="A53" s="491"/>
      <c r="C53" s="379"/>
      <c r="D53" s="2305">
        <v>8</v>
      </c>
      <c r="E53" s="2313" t="s">
        <v>195</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196</v>
      </c>
      <c r="AD53" s="1437" t="s">
        <v>197</v>
      </c>
      <c r="AE53" s="1437" t="s">
        <v>198</v>
      </c>
      <c r="AF53" s="1437" t="s">
        <v>199</v>
      </c>
      <c r="AG53" s="1437" t="s">
        <v>200</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9793"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9793"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9793"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9793"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9793" customFormat="1" customHeight="1" ht="17.25" hidden="1">
      <c r="A58" s="491"/>
      <c r="C58" s="379"/>
      <c r="D58" s="2305">
        <v>9</v>
      </c>
      <c r="E58" s="2313" t="s">
        <v>201</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202</v>
      </c>
      <c r="AD58" s="1437" t="s">
        <v>203</v>
      </c>
      <c r="AE58" s="1437" t="s">
        <v>204</v>
      </c>
      <c r="AF58" s="1437" t="s">
        <v>205</v>
      </c>
      <c r="AG58" s="1437" t="s">
        <v>206</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9793"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9793"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9793"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9793"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9793" customFormat="1" customHeight="1" ht="17.25" hidden="1">
      <c r="A63" s="491"/>
      <c r="C63" s="379"/>
      <c r="D63" s="2305">
        <v>10</v>
      </c>
      <c r="E63" s="2313" t="s">
        <v>207</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208</v>
      </c>
      <c r="AD63" s="1437" t="s">
        <v>209</v>
      </c>
      <c r="AE63" s="1437" t="s">
        <v>210</v>
      </c>
      <c r="AF63" s="1437" t="s">
        <v>211</v>
      </c>
      <c r="AG63" s="1437" t="s">
        <v>212</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9793"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9793"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9793"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9793"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213</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214</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215</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216</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217</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218</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219</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220</v>
      </c>
      <c r="F77" s="2342"/>
      <c r="G77" s="2343"/>
      <c r="H77" s="2343"/>
      <c r="I77" s="2343"/>
      <c r="J77" s="2343"/>
      <c r="K77" s="2343"/>
      <c r="L77" s="2343"/>
      <c r="M77" s="2343"/>
      <c r="N77" s="2343"/>
      <c r="O77" s="2343"/>
      <c r="P77" s="2343"/>
      <c r="Q77" s="2343"/>
      <c r="R77" s="2343"/>
      <c r="S77" s="2343"/>
      <c r="T77" s="2343"/>
      <c r="U77" s="2343"/>
      <c r="V77" s="2343"/>
      <c r="W77" s="2343"/>
      <c r="AR77" s="274">
        <v>0</v>
      </c>
    </row>
    <row s="9793"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9793" customFormat="1" customHeight="1" ht="17.25">
      <c r="A79" s="491"/>
      <c r="C79" s="379"/>
      <c r="D79" s="2305">
        <v>1</v>
      </c>
      <c r="E79" s="2313" t="s">
        <v>221</v>
      </c>
      <c r="F79" s="2315" t="s">
        <v>65</v>
      </c>
      <c r="G79" s="3252" t="str">
        <f>INDEX(VD_NAME_LIST,MATCH("4189671",VD_ID_LIST,0))</f>
        <v>Холодное водоснабжение. Питьевая вода</v>
      </c>
      <c r="H79" s="3253"/>
      <c r="I79" s="3253">
        <v>1</v>
      </c>
      <c r="J79" s="3254" t="s">
        <v>222</v>
      </c>
      <c r="K79" s="3255" t="s">
        <v>65</v>
      </c>
      <c r="L79" s="3256"/>
      <c r="M79" s="3256" t="s">
        <v>108</v>
      </c>
      <c r="N79" s="3257" t="str">
        <f>IF(Z79="","",INDEX(TERRITORY_MR_LIST,MATCH(Z79,TERRITORY_LIST_ID,0)))</f>
        <v>Территория 1</v>
      </c>
      <c r="O79" s="3255" t="s">
        <v>19</v>
      </c>
      <c r="P79" s="3256"/>
      <c r="Q79" s="3256" t="s">
        <v>108</v>
      </c>
      <c r="R79" s="3258" t="s">
        <v>28</v>
      </c>
      <c r="S79" s="3259" t="s">
        <v>19</v>
      </c>
      <c r="T79" s="3259"/>
      <c r="U79" s="3259" t="s">
        <v>108</v>
      </c>
      <c r="V79" s="3260"/>
      <c r="W79" s="3254"/>
      <c r="Y79" s="1437"/>
      <c r="Z79" s="1437" t="s">
        <v>97</v>
      </c>
      <c r="AA79" s="1437"/>
      <c r="AB79" s="1437" t="s">
        <v>223</v>
      </c>
      <c r="AC79" s="1437" t="s">
        <v>224</v>
      </c>
      <c r="AD79" s="1437" t="s">
        <v>225</v>
      </c>
      <c r="AE79" s="1437" t="s">
        <v>226</v>
      </c>
      <c r="AF79" s="1437" t="s">
        <v>227</v>
      </c>
      <c r="AG79" s="1437"/>
      <c r="AH79" s="1437" t="str">
        <f>IF($E$79=0,"",$E$79)</f>
        <v>Тариф на питьевую воду (питьевое водоснабжение)</v>
      </c>
      <c r="AI79" s="1437" t="str">
        <f>IF($G$79=0,"",$G$79)</f>
        <v>Холодное водоснабжение. Питьевая вода</v>
      </c>
      <c r="AJ79" s="1437" t="str">
        <f>IF($J$79=0,"",$J$79)</f>
        <v>Холодное водоснабжение. Питьевая вода</v>
      </c>
      <c r="AK79" s="1437" t="str">
        <f>IF($K$79="нет","без дифференциации",IF($N$79=0,"",$N$79))</f>
        <v>Территория 1</v>
      </c>
      <c r="AL79" s="1437" t="str">
        <f>IF($O$79="нет","без дифференциации",IF($R$79=0,"",$R$79))</f>
        <v>без дифференциации</v>
      </c>
      <c r="AM79" s="1437" t="str">
        <f>IF($S$79="нет","без дифференциации",IF($V$79=0,"",$V$79))</f>
        <v>без дифференциации</v>
      </c>
      <c r="AN79" s="1437">
        <f>$I$79</f>
        <v>1</v>
      </c>
      <c r="AO79" s="1437" t="str">
        <f>$I$79&amp;"."&amp;$M$79</f>
        <v>1.1</v>
      </c>
      <c r="AP79" s="1437" t="str">
        <f>$I$79&amp;"."&amp;$M$79&amp;"."&amp;$Q$79</f>
        <v>1.1.1</v>
      </c>
      <c r="AQ79" s="1437" t="str">
        <f>$I$79&amp;"."&amp;$M$79&amp;"."&amp;$Q$79&amp;"."&amp;$U$79</f>
        <v>1.1.1.1</v>
      </c>
      <c r="AR79" s="1520">
        <v>0</v>
      </c>
    </row>
    <row s="9793" customFormat="1" customHeight="1" ht="17.25">
      <c r="A80" s="491"/>
      <c r="C80" s="490"/>
      <c r="D80" s="2305"/>
      <c r="E80" s="2313"/>
      <c r="F80" s="2316"/>
      <c r="G80" s="3252"/>
      <c r="H80" s="3253"/>
      <c r="I80" s="3253"/>
      <c r="J80" s="3254"/>
      <c r="K80" s="3261"/>
      <c r="L80" s="3256"/>
      <c r="M80" s="3256"/>
      <c r="N80" s="3257"/>
      <c r="O80" s="3261"/>
      <c r="P80" s="3256"/>
      <c r="Q80" s="3256"/>
      <c r="R80" s="3258" t="s">
        <v>28</v>
      </c>
      <c r="S80" s="3259"/>
      <c r="T80" s="3262"/>
      <c r="U80" s="3263"/>
      <c r="V80" s="3263"/>
      <c r="W80" s="3254"/>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9793" customFormat="1" customHeight="1" ht="17.25">
      <c r="A81" s="491"/>
      <c r="C81" s="379"/>
      <c r="D81" s="2305"/>
      <c r="E81" s="2313"/>
      <c r="F81" s="2316"/>
      <c r="G81" s="3252"/>
      <c r="H81" s="3264"/>
      <c r="I81" s="3264"/>
      <c r="J81" s="3265"/>
      <c r="K81" s="3261"/>
      <c r="L81" s="3264"/>
      <c r="M81" s="3264"/>
      <c r="N81" s="3266"/>
      <c r="O81" s="3267"/>
      <c r="P81" s="3268"/>
      <c r="Q81" s="3269"/>
      <c r="R81" s="3270" t="s">
        <v>228</v>
      </c>
      <c r="S81" s="3271"/>
      <c r="T81" s="3272"/>
      <c r="U81" s="3273"/>
      <c r="V81" s="3274"/>
      <c r="W81" s="3275"/>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9793" customFormat="1" customHeight="1" ht="17.25">
      <c r="A82" s="491"/>
      <c r="C82" s="490"/>
      <c r="D82" s="2305"/>
      <c r="E82" s="2313"/>
      <c r="F82" s="2316"/>
      <c r="G82" s="3252"/>
      <c r="H82" s="3264"/>
      <c r="I82" s="3264"/>
      <c r="J82" s="3265"/>
      <c r="K82" s="3267"/>
      <c r="L82" s="3277"/>
      <c r="M82" s="3278"/>
      <c r="N82" s="3279" t="s">
        <v>229</v>
      </c>
      <c r="O82" s="3280"/>
      <c r="P82" s="3281"/>
      <c r="Q82" s="3282"/>
      <c r="R82" s="3283"/>
      <c r="S82" s="3284"/>
      <c r="T82" s="3285"/>
      <c r="U82" s="3286"/>
      <c r="V82" s="3287"/>
      <c r="W82" s="328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9793" customFormat="1" customHeight="1" ht="17.25">
      <c r="A83" s="491"/>
      <c r="C83" s="490"/>
      <c r="D83" s="2306"/>
      <c r="E83" s="2314"/>
      <c r="F83" s="2317"/>
      <c r="G83" s="3289"/>
      <c r="H83" s="3290"/>
      <c r="I83" s="3291"/>
      <c r="J83" s="3292" t="s">
        <v>230</v>
      </c>
      <c r="K83" s="3293"/>
      <c r="L83" s="3294"/>
      <c r="M83" s="3295"/>
      <c r="N83" s="3296"/>
      <c r="O83" s="3297"/>
      <c r="P83" s="3298"/>
      <c r="Q83" s="3299"/>
      <c r="R83" s="3300"/>
      <c r="S83" s="3301"/>
      <c r="T83" s="3302"/>
      <c r="U83" s="3303"/>
      <c r="V83" s="3304"/>
      <c r="W83" s="3305"/>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9793" customFormat="1" customHeight="1" ht="17.25">
      <c r="A84" s="491"/>
      <c r="C84" s="379"/>
      <c r="D84" s="2305">
        <v>2</v>
      </c>
      <c r="E84" s="2313" t="s">
        <v>231</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232</v>
      </c>
      <c r="AD84" s="1437" t="s">
        <v>233</v>
      </c>
      <c r="AE84" s="1437" t="s">
        <v>234</v>
      </c>
      <c r="AF84" s="1437" t="s">
        <v>235</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9793" customFormat="1" customHeight="1" ht="17.25">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9793" customFormat="1" customHeight="1" ht="17.25">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9793" customFormat="1" customHeight="1" ht="17.25">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9793" customFormat="1" customHeight="1" ht="17.25">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9793" customFormat="1" customHeight="1" ht="17.25">
      <c r="A89" s="491"/>
      <c r="C89" s="379"/>
      <c r="D89" s="2305">
        <v>3</v>
      </c>
      <c r="E89" s="2313" t="s">
        <v>236</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237</v>
      </c>
      <c r="AD89" s="1437" t="s">
        <v>238</v>
      </c>
      <c r="AE89" s="1437" t="s">
        <v>239</v>
      </c>
      <c r="AF89" s="1437" t="s">
        <v>240</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9793" customFormat="1" customHeight="1" ht="17.25">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9793" customFormat="1" customHeight="1" ht="17.25">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9793" customFormat="1" customHeight="1" ht="17.25">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9793" customFormat="1" customHeight="1" ht="17.25">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9793" customFormat="1" customHeight="1" ht="17.25">
      <c r="A94" s="491"/>
      <c r="C94" s="379"/>
      <c r="D94" s="2305">
        <v>4</v>
      </c>
      <c r="E94" s="2313" t="s">
        <v>241</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242</v>
      </c>
      <c r="AD94" s="1437" t="s">
        <v>243</v>
      </c>
      <c r="AE94" s="1437" t="s">
        <v>244</v>
      </c>
      <c r="AF94" s="1437" t="s">
        <v>245</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9793" customFormat="1" customHeight="1" ht="17.25">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9793" customFormat="1" customHeight="1" ht="17.25">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9793" customFormat="1" customHeight="1" ht="17.25">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9793" customFormat="1" customHeight="1" ht="17.25">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9793" customFormat="1" customHeight="1" ht="17.25">
      <c r="A99" s="491"/>
      <c r="C99" s="379"/>
      <c r="D99" s="2305">
        <v>5</v>
      </c>
      <c r="E99" s="2313" t="s">
        <v>246</v>
      </c>
      <c r="F99" s="2315" t="s">
        <v>65</v>
      </c>
      <c r="G99" s="3252" t="str">
        <f>INDEX(VD_NAME_LIST,MATCH("4189677",VD_ID_LIST,0))</f>
        <v>Подключение (технологическое присоединение) к централизованной системе водоснабжения</v>
      </c>
      <c r="H99" s="6058"/>
      <c r="I99" s="6058">
        <v>1</v>
      </c>
      <c r="J99" s="6059" t="s">
        <v>246</v>
      </c>
      <c r="K99" s="6060" t="s">
        <v>65</v>
      </c>
      <c r="L99" s="6061"/>
      <c r="M99" s="6061" t="s">
        <v>108</v>
      </c>
      <c r="N99" s="6062" t="str">
        <f>IF(Z99="","",INDEX(TERRITORY_MR_LIST,MATCH(Z99,TERRITORY_LIST_ID,0)))</f>
        <v>Территория 1</v>
      </c>
      <c r="O99" s="6060" t="s">
        <v>19</v>
      </c>
      <c r="P99" s="6061"/>
      <c r="Q99" s="6061" t="s">
        <v>108</v>
      </c>
      <c r="R99" s="6063" t="s">
        <v>28</v>
      </c>
      <c r="S99" s="6064" t="s">
        <v>19</v>
      </c>
      <c r="T99" s="6064"/>
      <c r="U99" s="6064" t="s">
        <v>108</v>
      </c>
      <c r="V99" s="6065"/>
      <c r="W99" s="6059"/>
      <c r="X99" s="1437"/>
      <c r="Y99" s="1437"/>
      <c r="Z99" s="1437" t="s">
        <v>97</v>
      </c>
      <c r="AA99" s="1437"/>
      <c r="AB99" s="1437" t="s">
        <v>247</v>
      </c>
      <c r="AC99" s="1437" t="s">
        <v>248</v>
      </c>
      <c r="AD99" s="1437" t="s">
        <v>249</v>
      </c>
      <c r="AE99" s="1437" t="s">
        <v>250</v>
      </c>
      <c r="AF99" s="1437" t="s">
        <v>251</v>
      </c>
      <c r="AG99" s="1437"/>
      <c r="AH99" s="1437" t="str">
        <f>IF($E$99=0,"",$E$99)</f>
        <v>Тариф на подключение (технологическое присоединение) к централизованной системе холодного водоснабжения</v>
      </c>
      <c r="AI99" s="1437" t="str">
        <f>IF($G$99=0,"",$G$99)</f>
        <v>Подключение (технологическое присоединение) к централизованной системе водоснабжения</v>
      </c>
      <c r="AJ99" s="1437" t="str">
        <f>IF($J$99=0,"",$J$99)</f>
        <v>Тариф на подключение (технологическое присоединение) к централизованной системе холодного водоснабжения</v>
      </c>
      <c r="AK99" s="1437" t="str">
        <f>IF($K$99="нет","без дифференциации",IF($N$99=0,"",$N$99))</f>
        <v>Территория 1</v>
      </c>
      <c r="AL99" s="1437" t="str">
        <f>IF($O$99="нет","без дифференциации",IF($R$99=0,"",$R$99))</f>
        <v>без дифференциации</v>
      </c>
      <c r="AM99" s="1437" t="str">
        <f>IF($S$99="нет","без дифференциации",IF($V$99=0,"",$V$99))</f>
        <v>без дифференциации</v>
      </c>
      <c r="AN99" s="1942">
        <f>$I$99</f>
        <v>1</v>
      </c>
      <c r="AO99" s="1437" t="str">
        <f>$I$99&amp;"."&amp;$M$99</f>
        <v>1.1</v>
      </c>
      <c r="AP99" s="1436" t="str">
        <f>$I$99&amp;"."&amp;$M$99&amp;"."&amp;$Q$99</f>
        <v>1.1.1</v>
      </c>
      <c r="AQ99" s="1436" t="str">
        <f>$I$99&amp;"."&amp;$M$99&amp;"."&amp;$Q$99&amp;"."&amp;$U$99</f>
        <v>1.1.1.1</v>
      </c>
      <c r="AR99" s="1637">
        <v>0</v>
      </c>
    </row>
    <row s="9793" customFormat="1" customHeight="1" ht="17.25">
      <c r="A100" s="491"/>
      <c r="C100" s="490"/>
      <c r="D100" s="2305"/>
      <c r="E100" s="2313"/>
      <c r="F100" s="2316"/>
      <c r="G100" s="3252" t="s">
        <v>28</v>
      </c>
      <c r="H100" s="6058"/>
      <c r="I100" s="6058"/>
      <c r="J100" s="6059"/>
      <c r="K100" s="6066"/>
      <c r="L100" s="6061"/>
      <c r="M100" s="6061"/>
      <c r="N100" s="6062"/>
      <c r="O100" s="6066"/>
      <c r="P100" s="6061"/>
      <c r="Q100" s="6061"/>
      <c r="R100" s="6063" t="s">
        <v>28</v>
      </c>
      <c r="S100" s="6064"/>
      <c r="T100" s="6067"/>
      <c r="U100" s="6068"/>
      <c r="V100" s="6068"/>
      <c r="W100" s="605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9793" customFormat="1" customHeight="1" ht="17.25">
      <c r="A101" s="491"/>
      <c r="C101" s="490"/>
      <c r="D101" s="2306"/>
      <c r="E101" s="2314"/>
      <c r="F101" s="2316"/>
      <c r="G101" s="3289" t="s">
        <v>28</v>
      </c>
      <c r="H101" s="6069"/>
      <c r="I101" s="6069"/>
      <c r="J101" s="6070"/>
      <c r="K101" s="6066"/>
      <c r="L101" s="6069"/>
      <c r="M101" s="6069"/>
      <c r="N101" s="6071"/>
      <c r="O101" s="6072"/>
      <c r="P101" s="6073"/>
      <c r="Q101" s="6074"/>
      <c r="R101" s="6075" t="s">
        <v>228</v>
      </c>
      <c r="S101" s="6076"/>
      <c r="T101" s="6077"/>
      <c r="U101" s="6078"/>
      <c r="V101" s="6079"/>
      <c r="W101" s="6080"/>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9793" customFormat="1" customHeight="1" ht="17.25">
      <c r="A102" s="491"/>
      <c r="C102" s="490"/>
      <c r="D102" s="2306"/>
      <c r="E102" s="2314"/>
      <c r="F102" s="2316"/>
      <c r="G102" s="3289" t="s">
        <v>28</v>
      </c>
      <c r="H102" s="6069"/>
      <c r="I102" s="6069"/>
      <c r="J102" s="6070"/>
      <c r="K102" s="6072"/>
      <c r="L102" s="6081"/>
      <c r="M102" s="6082"/>
      <c r="N102" s="6083" t="s">
        <v>229</v>
      </c>
      <c r="O102" s="6084"/>
      <c r="P102" s="6085"/>
      <c r="Q102" s="6086"/>
      <c r="R102" s="6087"/>
      <c r="S102" s="6088"/>
      <c r="T102" s="6089"/>
      <c r="U102" s="6090"/>
      <c r="V102" s="6091"/>
      <c r="W102" s="6092"/>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9793" customFormat="1" customHeight="1" ht="17.25">
      <c r="A103" s="491"/>
      <c r="C103" s="490"/>
      <c r="D103" s="2306"/>
      <c r="E103" s="2314"/>
      <c r="F103" s="2317"/>
      <c r="G103" s="3289" t="s">
        <v>28</v>
      </c>
      <c r="H103" s="6093"/>
      <c r="I103" s="6094"/>
      <c r="J103" s="6095" t="s">
        <v>230</v>
      </c>
      <c r="K103" s="6096"/>
      <c r="L103" s="6097"/>
      <c r="M103" s="6098"/>
      <c r="N103" s="6099"/>
      <c r="O103" s="6100"/>
      <c r="P103" s="6101"/>
      <c r="Q103" s="6102"/>
      <c r="R103" s="6103"/>
      <c r="S103" s="6104"/>
      <c r="T103" s="6105"/>
      <c r="U103" s="6106"/>
      <c r="V103" s="6107"/>
      <c r="W103" s="6108"/>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9793"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9793" customFormat="1" customHeight="1" ht="17.25" hidden="1">
      <c r="A105" s="491"/>
      <c r="C105" s="379"/>
      <c r="D105" s="2305">
        <v>1</v>
      </c>
      <c r="E105" s="2313" t="s">
        <v>252</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253</v>
      </c>
      <c r="AD105" s="1437" t="s">
        <v>254</v>
      </c>
      <c r="AE105" s="1437" t="s">
        <v>255</v>
      </c>
      <c r="AF105" s="1437" t="s">
        <v>256</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9793"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9793"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9793"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9793"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9793" customFormat="1" customHeight="1" ht="17.25" hidden="1">
      <c r="A110" s="491"/>
      <c r="C110" s="379"/>
      <c r="D110" s="2305">
        <v>2</v>
      </c>
      <c r="E110" s="2313" t="s">
        <v>257</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258</v>
      </c>
      <c r="AD110" s="1437" t="s">
        <v>259</v>
      </c>
      <c r="AE110" s="1437" t="s">
        <v>260</v>
      </c>
      <c r="AF110" s="1437" t="s">
        <v>261</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9793"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9793"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9793"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9793"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9793" customFormat="1" customHeight="1" ht="17.25" hidden="1">
      <c r="A115" s="491"/>
      <c r="C115" s="379"/>
      <c r="D115" s="2305">
        <v>3</v>
      </c>
      <c r="E115" s="2313" t="s">
        <v>262</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263</v>
      </c>
      <c r="AD115" s="1437" t="s">
        <v>264</v>
      </c>
      <c r="AE115" s="1437" t="s">
        <v>265</v>
      </c>
      <c r="AF115" s="1437" t="s">
        <v>266</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9793"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9793"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9793"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9793"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9793"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9793" customFormat="1" customHeight="1" ht="17.25" hidden="1">
      <c r="A121" s="491"/>
      <c r="C121" s="379"/>
      <c r="D121" s="2305">
        <v>1</v>
      </c>
      <c r="E121" s="2313" t="s">
        <v>267</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268</v>
      </c>
      <c r="AD121" s="1437" t="s">
        <v>269</v>
      </c>
      <c r="AE121" s="1437" t="s">
        <v>270</v>
      </c>
      <c r="AF121" s="1437" t="s">
        <v>271</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9793"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9793"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9793"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9793"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9793" customFormat="1" customHeight="1" ht="17.25" hidden="1">
      <c r="A126" s="491"/>
      <c r="C126" s="379"/>
      <c r="D126" s="2305">
        <v>2</v>
      </c>
      <c r="E126" s="2313" t="s">
        <v>272</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273</v>
      </c>
      <c r="AD126" s="1437" t="s">
        <v>274</v>
      </c>
      <c r="AE126" s="1437" t="s">
        <v>275</v>
      </c>
      <c r="AF126" s="1437" t="s">
        <v>276</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9793"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9793"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9793"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9793"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9793" customFormat="1" customHeight="1" ht="17.25" hidden="1">
      <c r="A131" s="491"/>
      <c r="C131" s="379"/>
      <c r="D131" s="2305">
        <v>3</v>
      </c>
      <c r="E131" s="2313" t="s">
        <v>277</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278</v>
      </c>
      <c r="AD131" s="1437" t="s">
        <v>279</v>
      </c>
      <c r="AE131" s="1437" t="s">
        <v>280</v>
      </c>
      <c r="AF131" s="1437" t="s">
        <v>281</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9793"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9793"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9793"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9793"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81</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99E5B-0A1E-8569-E964-B72B3A1DFD0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9553" width="9.140625" hidden="1" customWidth="1"/>
    <col min="2" max="2" style="9589" width="9.140625" hidden="1" customWidth="1"/>
    <col min="3" max="3" style="12431" width="4.00390625" customWidth="1"/>
    <col min="4" max="4" style="9589" width="6.00390625" customWidth="1"/>
    <col min="5" max="5" style="9589" width="47.00390625" customWidth="1"/>
    <col min="6" max="6" style="9589" width="9.00390625" customWidth="1"/>
    <col min="7" max="7" style="9589" width="25.7109375" hidden="1" customWidth="1"/>
    <col min="8" max="8" style="9589" width="34.00390625" hidden="1" customWidth="1"/>
    <col min="9" max="9" style="9589" width="25.7109375" customWidth="1"/>
    <col min="10" max="10" style="9589" width="33.00390625" customWidth="1"/>
    <col min="11" max="11" style="9666" width="50.00390625" customWidth="1"/>
    <col min="12" max="20" style="9589" width="10.00390625" customWidth="1"/>
    <col min="21" max="21" style="12432" width="10.00390625" customWidth="1"/>
    <col min="22" max="22" style="9589" width="10.57421875" hidden="1"/>
  </cols>
  <sheetData>
    <row s="9666" customFormat="1" customHeight="1" ht="22.5" hidden="1">
      <c r="C1" s="842"/>
      <c r="G1" s="587">
        <v>4</v>
      </c>
      <c r="I1" s="587">
        <v>4</v>
      </c>
      <c r="U1" s="590"/>
      <c r="V1" s="587" t="s">
        <v>14</v>
      </c>
    </row>
    <row s="9589" customFormat="1" customHeight="1" ht="15" hidden="1">
      <c r="A2" s="532"/>
      <c r="C2" s="346"/>
      <c r="D2" s="516"/>
      <c r="E2" s="843"/>
      <c r="F2" s="692"/>
      <c r="G2" s="786"/>
      <c r="H2" s="786"/>
      <c r="I2" s="786"/>
      <c r="J2" s="786"/>
      <c r="U2" s="844"/>
      <c r="V2" s="679">
        <v>0</v>
      </c>
    </row>
    <row s="9666" customFormat="1" customHeight="1" ht="15" hidden="1">
      <c r="C3" s="842"/>
      <c r="U3" s="590"/>
      <c r="V3" s="587">
        <v>0</v>
      </c>
    </row>
    <row customHeight="1" ht="15.75">
      <c r="C4" s="346"/>
      <c r="D4" s="679"/>
      <c r="E4" s="679"/>
      <c r="F4" s="679"/>
      <c r="G4" s="679"/>
      <c r="H4" s="679"/>
      <c r="I4" s="679"/>
      <c r="J4" s="679"/>
      <c r="V4" s="675">
        <v>15</v>
      </c>
    </row>
    <row customHeight="1" ht="66">
      <c r="C5" s="346"/>
      <c r="D5" s="2407" t="s">
        <v>1175</v>
      </c>
      <c r="E5" s="2407"/>
      <c r="F5" s="2407"/>
      <c r="G5" s="2407"/>
      <c r="H5" s="2407"/>
      <c r="I5" s="2407"/>
      <c r="J5" s="2407"/>
      <c r="V5" s="675">
        <v>63</v>
      </c>
    </row>
    <row customHeight="1" ht="15.75">
      <c r="C6" s="346"/>
      <c r="D6" s="2346" t="str">
        <f>IF(org=0,"Не определено",org)</f>
        <v>МУП "Водоканал"</v>
      </c>
      <c r="E6" s="2346"/>
      <c r="F6" s="2346"/>
      <c r="G6" s="2346"/>
      <c r="H6" s="2346"/>
      <c r="I6" s="2346"/>
      <c r="J6" s="2346"/>
      <c r="K6" s="707"/>
      <c r="V6" s="675">
        <v>15</v>
      </c>
    </row>
    <row customHeight="1" ht="15.75">
      <c r="C7" s="346"/>
      <c r="D7" s="922"/>
      <c r="E7" s="679"/>
      <c r="F7" s="679"/>
      <c r="G7" s="707">
        <v>22</v>
      </c>
      <c r="I7" s="707">
        <v>1</v>
      </c>
      <c r="J7" s="922"/>
      <c r="V7" s="675">
        <v>15</v>
      </c>
    </row>
    <row s="9589" customFormat="1" customHeight="1" ht="1.05">
      <c r="A8" s="929"/>
      <c r="C8" s="346"/>
      <c r="D8" s="679"/>
      <c r="E8" s="679"/>
      <c r="F8" s="679"/>
      <c r="G8" s="707"/>
      <c r="H8" s="922"/>
      <c r="I8" s="707" t="s">
        <v>116</v>
      </c>
      <c r="J8" s="922"/>
      <c r="K8" s="587"/>
      <c r="U8" s="845"/>
      <c r="V8" s="928">
        <v>1</v>
      </c>
    </row>
    <row customHeight="1" ht="15.75">
      <c r="C9" s="346"/>
      <c r="D9" s="881"/>
      <c r="E9" s="2537" t="s">
        <v>104</v>
      </c>
      <c r="F9" s="2538"/>
      <c r="G9" s="2565" t="str">
        <f>IF(G8="","",INDEX(DIFFERENTIATION_UNMERGE_VD,MATCH(G8,DIFFERENTIATION_ID_DIFF,0)))</f>
        <v/>
      </c>
      <c r="H9" s="2566"/>
      <c r="I9" s="2565">
        <f>IF(I8="","",INDEX(DIFFERENTIATION_UNMERGE_VD,MATCH(I8,DIFFERENTIATION_ID_DIFF,0)))</f>
        <v>0</v>
      </c>
      <c r="J9" s="2566"/>
      <c r="K9" s="2345" t="s">
        <v>304</v>
      </c>
      <c r="V9" s="675">
        <v>15</v>
      </c>
    </row>
    <row s="9589" customFormat="1" customHeight="1" ht="15.75">
      <c r="A10" s="929"/>
      <c r="C10" s="346"/>
      <c r="D10" s="881"/>
      <c r="E10" s="2537" t="s">
        <v>576</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9589" customFormat="1" customHeight="1" ht="15.75">
      <c r="A11" s="929"/>
      <c r="C11" s="346"/>
      <c r="D11" s="881"/>
      <c r="E11" s="2537" t="s">
        <v>577</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9589" customFormat="1" customHeight="1" ht="15.75">
      <c r="A12" s="929"/>
      <c r="C12" s="346"/>
      <c r="D12" s="2539" t="s">
        <v>303</v>
      </c>
      <c r="E12" s="2540"/>
      <c r="F12" s="2540"/>
      <c r="G12" s="1057"/>
      <c r="H12" s="1057"/>
      <c r="I12" s="1057"/>
      <c r="J12" s="1057"/>
      <c r="K12" s="2369"/>
      <c r="U12" s="845"/>
      <c r="V12" s="928">
        <v>15</v>
      </c>
    </row>
    <row customHeight="1" ht="35.699999999999996">
      <c r="C13" s="346"/>
      <c r="D13" s="975" t="s">
        <v>87</v>
      </c>
      <c r="E13" s="977" t="s">
        <v>305</v>
      </c>
      <c r="F13" s="977" t="s">
        <v>578</v>
      </c>
      <c r="G13" s="978" t="s">
        <v>306</v>
      </c>
      <c r="H13" s="977" t="s">
        <v>393</v>
      </c>
      <c r="I13" s="978" t="s">
        <v>306</v>
      </c>
      <c r="J13" s="977" t="s">
        <v>393</v>
      </c>
      <c r="K13" s="2402"/>
      <c r="V13" s="675">
        <v>34</v>
      </c>
    </row>
    <row customHeight="1" ht="15" hidden="1">
      <c r="C14" s="346"/>
      <c r="D14" s="763" t="s">
        <v>108</v>
      </c>
      <c r="E14" s="763" t="s">
        <v>109</v>
      </c>
      <c r="F14" s="763" t="s">
        <v>89</v>
      </c>
      <c r="G14" s="829" t="str">
        <f>G1&amp;".1"</f>
        <v>4.1</v>
      </c>
      <c r="H14" s="829"/>
      <c r="I14" s="829" t="str">
        <f>I1&amp;".1"</f>
        <v>4.1</v>
      </c>
      <c r="J14" s="829"/>
      <c r="K14" s="459"/>
      <c r="V14" s="675">
        <v>0</v>
      </c>
    </row>
    <row customHeight="1" ht="22.5" hidden="1">
      <c r="A15" s="675"/>
      <c r="C15" s="696"/>
      <c r="D15" s="691">
        <v>1</v>
      </c>
      <c r="E15" s="847" t="s">
        <v>820</v>
      </c>
      <c r="F15" s="691" t="s">
        <v>821</v>
      </c>
      <c r="G15" s="848"/>
      <c r="H15" s="848"/>
      <c r="I15" s="848"/>
      <c r="J15" s="848"/>
      <c r="K15" s="459" t="s">
        <v>822</v>
      </c>
      <c r="V15" s="675">
        <v>0</v>
      </c>
    </row>
    <row customHeight="1" ht="22.5" hidden="1">
      <c r="A16" s="675"/>
      <c r="C16" s="696"/>
      <c r="D16" s="691">
        <v>2</v>
      </c>
      <c r="E16" s="449" t="s">
        <v>823</v>
      </c>
      <c r="F16" s="691" t="s">
        <v>824</v>
      </c>
      <c r="G16" s="848"/>
      <c r="H16" s="848"/>
      <c r="I16" s="848"/>
      <c r="J16" s="848"/>
      <c r="K16" s="459" t="s">
        <v>825</v>
      </c>
      <c r="V16" s="675">
        <v>0</v>
      </c>
    </row>
    <row customHeight="1" ht="123.75" hidden="1">
      <c r="A17" s="675"/>
      <c r="C17" s="696"/>
      <c r="D17" s="691">
        <v>3</v>
      </c>
      <c r="E17" s="449" t="s">
        <v>1176</v>
      </c>
      <c r="F17" s="691" t="s">
        <v>309</v>
      </c>
      <c r="G17" s="848"/>
      <c r="H17" s="848"/>
      <c r="I17" s="848"/>
      <c r="J17" s="848"/>
      <c r="K17" s="459" t="s">
        <v>1177</v>
      </c>
      <c r="V17" s="675">
        <v>0</v>
      </c>
    </row>
    <row customHeight="1" ht="48.29999999999999">
      <c r="A18" s="675"/>
      <c r="C18" s="696"/>
      <c r="D18" s="691">
        <v>3</v>
      </c>
      <c r="E18" s="449" t="s">
        <v>826</v>
      </c>
      <c r="F18" s="691" t="s">
        <v>309</v>
      </c>
      <c r="G18" s="979" t="s">
        <v>309</v>
      </c>
      <c r="H18" s="980" t="s">
        <v>309</v>
      </c>
      <c r="I18" s="691" t="s">
        <v>309</v>
      </c>
      <c r="J18" s="748" t="s">
        <v>309</v>
      </c>
      <c r="K18" s="459" t="s">
        <v>1178</v>
      </c>
      <c r="V18" s="675">
        <v>46</v>
      </c>
    </row>
    <row customHeight="1" ht="35.699999999999996">
      <c r="A19" s="675"/>
      <c r="C19" s="696"/>
      <c r="D19" s="709" t="s">
        <v>327</v>
      </c>
      <c r="E19" s="729" t="s">
        <v>828</v>
      </c>
      <c r="F19" s="691" t="s">
        <v>829</v>
      </c>
      <c r="G19" s="987"/>
      <c r="H19" s="276"/>
      <c r="I19" s="987"/>
      <c r="J19" s="988"/>
      <c r="K19" s="849"/>
      <c r="V19" s="675">
        <v>34</v>
      </c>
    </row>
    <row customHeight="1" ht="35.699999999999996">
      <c r="A20" s="675"/>
      <c r="C20" s="696"/>
      <c r="D20" s="2060" t="s">
        <v>335</v>
      </c>
      <c r="E20" s="729" t="s">
        <v>830</v>
      </c>
      <c r="F20" s="691" t="s">
        <v>831</v>
      </c>
      <c r="G20" s="987"/>
      <c r="H20" s="276"/>
      <c r="I20" s="987"/>
      <c r="J20" s="276"/>
      <c r="K20" s="849"/>
      <c r="V20" s="675">
        <v>34</v>
      </c>
    </row>
    <row customHeight="1" ht="48.29999999999999">
      <c r="A21" s="675"/>
      <c r="C21" s="696"/>
      <c r="D21" s="2060" t="s">
        <v>337</v>
      </c>
      <c r="E21" s="729" t="s">
        <v>832</v>
      </c>
      <c r="F21" s="691" t="s">
        <v>583</v>
      </c>
      <c r="G21" s="850"/>
      <c r="H21" s="276"/>
      <c r="I21" s="850"/>
      <c r="J21" s="276"/>
      <c r="K21" s="849"/>
      <c r="V21" s="675">
        <v>46</v>
      </c>
    </row>
    <row customHeight="1" ht="67.5" hidden="1">
      <c r="A22" s="675"/>
      <c r="C22" s="696"/>
      <c r="D22" s="691">
        <v>5</v>
      </c>
      <c r="E22" s="449" t="s">
        <v>1179</v>
      </c>
      <c r="F22" s="691" t="s">
        <v>570</v>
      </c>
      <c r="G22" s="851"/>
      <c r="H22" s="852"/>
      <c r="I22" s="851"/>
      <c r="J22" s="852"/>
      <c r="K22" s="459" t="s">
        <v>1180</v>
      </c>
      <c r="V22" s="675">
        <v>0</v>
      </c>
    </row>
    <row customHeight="1" ht="33.75" hidden="1">
      <c r="C23" s="621"/>
      <c r="D23" s="691">
        <v>6</v>
      </c>
      <c r="E23" s="449" t="s">
        <v>1181</v>
      </c>
      <c r="F23" s="691" t="s">
        <v>1182</v>
      </c>
      <c r="G23" s="851"/>
      <c r="H23" s="851"/>
      <c r="I23" s="851"/>
      <c r="J23" s="851"/>
      <c r="K23" s="459" t="s">
        <v>1183</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81</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1506D3-947E-02E9-CB29-A777F2A4F9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863" width="32.57421875" customWidth="1"/>
    <col min="2" max="2" style="9727" width="11.00390625" customWidth="1"/>
    <col min="3" max="3" style="9727" width="9.140625"/>
    <col min="4" max="4" style="9727" width="26.57421875" customWidth="1"/>
    <col min="5" max="5" style="12690" width="36.8515625" customWidth="1"/>
    <col min="6" max="6" style="12690" width="23.57421875" customWidth="1"/>
    <col min="7" max="7" style="12690" width="31.421875" customWidth="1"/>
    <col min="8" max="8" style="12690" width="40.8515625" customWidth="1"/>
    <col min="9" max="9" style="12690" width="14.57421875" customWidth="1"/>
    <col min="10" max="10" style="12690" width="26.8515625" customWidth="1"/>
    <col min="11" max="11" style="12690" width="50.00390625" customWidth="1"/>
    <col min="12" max="12" style="12690" width="52.421875" customWidth="1"/>
    <col min="13" max="13" style="12690" width="10.7109375" customWidth="1"/>
    <col min="14" max="14" style="12690" width="55.140625" customWidth="1"/>
    <col min="15" max="15" style="12690" width="31.8515625" customWidth="1"/>
    <col min="16" max="16" style="12690" width="23.8515625" customWidth="1"/>
    <col min="17" max="17" style="12690" width="46.57421875" customWidth="1"/>
    <col min="18" max="18" style="12690" width="24.00390625" customWidth="1"/>
    <col min="19" max="19" style="12690" width="20.57421875" customWidth="1"/>
    <col min="20" max="20" style="12690" width="22.00390625" customWidth="1"/>
    <col min="21" max="22" style="12690" width="26.421875" customWidth="1"/>
    <col min="23" max="23" style="12690" width="8.28125" hidden="1" customWidth="1"/>
    <col min="24" max="24" style="12690" width="59.7109375" customWidth="1"/>
    <col min="25" max="25" style="12690" width="49.140625" customWidth="1"/>
    <col min="26" max="26" style="12690" width="11.140625" customWidth="1"/>
    <col min="27" max="30" style="12690" width="29.00390625" customWidth="1"/>
    <col min="31" max="31" style="12690" width="9.140625"/>
    <col min="32" max="32" style="12690" width="34.7109375" customWidth="1"/>
    <col min="33" max="33" style="12690" width="9.140625"/>
    <col min="34" max="35" style="12690" width="34.421875" customWidth="1"/>
    <col min="36" max="36" style="12690" width="9.140625"/>
    <col min="37" max="37" style="12690" width="24.57421875" customWidth="1"/>
    <col min="38" max="38" style="12690" width="9.140625"/>
    <col min="39" max="39" style="12690" width="26.140625" customWidth="1"/>
    <col min="40" max="40" style="12690" width="1.7109375" customWidth="1"/>
    <col min="41" max="41" style="12690" width="9.140625"/>
    <col min="42" max="43" style="12690" width="47.8515625" customWidth="1"/>
    <col min="44" max="44" style="12690" width="1.7109375" customWidth="1"/>
    <col min="45" max="45" style="12690" width="21.421875" customWidth="1"/>
    <col min="46" max="46" style="12690" width="1.7109375" customWidth="1"/>
    <col min="47" max="47" style="12690" width="31.28125" customWidth="1"/>
    <col min="48" max="48" style="12690" width="1.7109375" customWidth="1"/>
    <col min="49" max="50" style="12690" width="9.140625"/>
    <col min="51" max="51" style="12690" width="3.7109375" customWidth="1"/>
    <col min="52" max="52" style="12690" width="60.8515625" customWidth="1"/>
    <col min="53" max="53" style="12690" width="49.28125" customWidth="1"/>
    <col min="54" max="54" style="12690" width="35.140625" customWidth="1"/>
    <col min="55" max="55" style="12690" width="9.140625"/>
    <col min="56" max="56" style="12690" width="1.7109375" customWidth="1"/>
    <col min="57" max="57" style="12864" width="12.57421875" customWidth="1"/>
    <col min="58" max="58" style="12864" width="14.28125" customWidth="1"/>
    <col min="59" max="59" style="12690" width="30.7109375" customWidth="1"/>
    <col min="60" max="60" style="12865" width="40.7109375" customWidth="1"/>
    <col min="61" max="61" style="12865" width="15.00390625" customWidth="1"/>
    <col min="62" max="62" style="12865" width="40.7109375" customWidth="1"/>
    <col min="63" max="63" style="12865" width="2.7109375" customWidth="1"/>
    <col min="64" max="64" style="12865" width="44.7109375" customWidth="1"/>
    <col min="65" max="65" style="12865" width="2.7109375" customWidth="1"/>
    <col min="66" max="66" style="12865" width="40.7109375" customWidth="1"/>
    <col min="67" max="68" style="12690" width="9.140625"/>
    <col min="69" max="69" style="12690" width="18.140625" customWidth="1"/>
    <col min="70" max="70" style="12690" width="57.8515625" customWidth="1"/>
    <col min="71" max="71" style="12690" width="1.7109375" customWidth="1"/>
    <col min="72" max="72" style="12690" width="22.57421875" customWidth="1"/>
    <col min="73" max="73" style="12690" width="57.8515625" customWidth="1"/>
    <col min="74" max="74" style="12690" width="1.7109375" customWidth="1"/>
    <col min="75" max="75" style="12690" width="22.57421875" customWidth="1"/>
    <col min="76" max="76" style="12690" width="57.8515625" customWidth="1"/>
    <col min="77" max="77" style="12690" width="1.7109375" customWidth="1"/>
    <col min="78" max="78" style="12690" width="22.57421875" customWidth="1"/>
    <col min="79" max="79" style="12690" width="57.8515625" customWidth="1"/>
    <col min="80" max="81" style="12690" width="9.140625"/>
    <col min="82" max="82" style="12690" width="49.57421875" customWidth="1"/>
  </cols>
  <sheetData>
    <row s="12766" customFormat="1" customHeight="1" ht="11.25">
      <c r="A1" s="1237" t="s">
        <v>1184</v>
      </c>
      <c r="B1" s="1237" t="s">
        <v>1185</v>
      </c>
      <c r="C1" s="1237" t="s">
        <v>1186</v>
      </c>
      <c r="D1" s="1237" t="s">
        <v>1187</v>
      </c>
      <c r="E1" s="1237" t="s">
        <v>1188</v>
      </c>
      <c r="F1" s="1237" t="s">
        <v>1189</v>
      </c>
      <c r="G1" s="1237" t="s">
        <v>1190</v>
      </c>
      <c r="H1" s="1237" t="s">
        <v>1191</v>
      </c>
      <c r="I1" s="1237" t="s">
        <v>1192</v>
      </c>
      <c r="J1" s="1237" t="s">
        <v>1193</v>
      </c>
      <c r="K1" s="1237" t="s">
        <v>1194</v>
      </c>
      <c r="L1" s="1237" t="s">
        <v>1195</v>
      </c>
      <c r="M1" s="1237"/>
      <c r="N1" s="1237" t="s">
        <v>1196</v>
      </c>
      <c r="O1" s="1237" t="s">
        <v>1197</v>
      </c>
      <c r="P1" s="1237" t="s">
        <v>1198</v>
      </c>
      <c r="Q1" s="1237" t="s">
        <v>1199</v>
      </c>
      <c r="R1" s="1237" t="s">
        <v>1200</v>
      </c>
      <c r="S1" s="1237" t="s">
        <v>1201</v>
      </c>
      <c r="T1" s="1237" t="s">
        <v>1202</v>
      </c>
      <c r="U1" s="1237" t="s">
        <v>1203</v>
      </c>
      <c r="V1" s="1237"/>
      <c r="W1" s="967" t="s">
        <v>1204</v>
      </c>
      <c r="X1" s="1237" t="s">
        <v>1205</v>
      </c>
      <c r="Y1" s="1237" t="s">
        <v>1206</v>
      </c>
      <c r="Z1" s="1237"/>
      <c r="AA1" s="1237" t="s">
        <v>1207</v>
      </c>
      <c r="AB1" s="1237"/>
      <c r="AC1" s="1237" t="s">
        <v>1208</v>
      </c>
      <c r="AD1" s="1237"/>
      <c r="AF1" s="1237" t="s">
        <v>1209</v>
      </c>
      <c r="AH1" s="1237" t="s">
        <v>1210</v>
      </c>
      <c r="AI1" s="1237" t="s">
        <v>1211</v>
      </c>
      <c r="AK1" s="1237" t="s">
        <v>1212</v>
      </c>
      <c r="AM1" s="1237" t="s">
        <v>1213</v>
      </c>
      <c r="AP1" s="1237" t="s">
        <v>1214</v>
      </c>
      <c r="AQ1" s="1237" t="s">
        <v>1215</v>
      </c>
      <c r="AS1" s="1237" t="s">
        <v>1216</v>
      </c>
      <c r="AU1" s="1237" t="s">
        <v>1217</v>
      </c>
      <c r="AW1" s="1237" t="s">
        <v>1218</v>
      </c>
      <c r="AX1" s="1237" t="s">
        <v>1219</v>
      </c>
      <c r="AZ1" s="1322" t="s">
        <v>1220</v>
      </c>
      <c r="BB1" s="1237" t="s">
        <v>1221</v>
      </c>
      <c r="BC1" s="1237"/>
      <c r="BE1" s="1237" t="s">
        <v>1222</v>
      </c>
      <c r="BF1" s="1237" t="s">
        <v>1223</v>
      </c>
      <c r="BH1" s="1239" t="s">
        <v>819</v>
      </c>
      <c r="BI1" s="1240"/>
      <c r="BJ1" s="1241" t="s">
        <v>1224</v>
      </c>
      <c r="BK1" s="1240"/>
      <c r="BL1" s="1242" t="s">
        <v>918</v>
      </c>
      <c r="BM1" s="1240"/>
      <c r="BN1" s="1243" t="s">
        <v>1225</v>
      </c>
      <c r="BS1" s="1597"/>
    </row>
    <row customHeight="1" ht="11.25">
      <c r="A2" s="1244" t="s">
        <v>1226</v>
      </c>
      <c r="B2" s="1245">
        <v>2000</v>
      </c>
      <c r="C2" s="1245">
        <v>2022</v>
      </c>
      <c r="D2" s="1245" t="s">
        <v>65</v>
      </c>
      <c r="E2" s="1246" t="s">
        <v>1227</v>
      </c>
      <c r="F2" s="1246" t="s">
        <v>1228</v>
      </c>
      <c r="G2" s="1246" t="s">
        <v>1229</v>
      </c>
      <c r="H2" s="1247" t="s">
        <v>54</v>
      </c>
      <c r="I2" s="1246" t="s">
        <v>108</v>
      </c>
      <c r="J2" s="1246" t="s">
        <v>1230</v>
      </c>
      <c r="K2" s="1248" t="s">
        <v>1231</v>
      </c>
      <c r="L2" s="1249"/>
      <c r="M2" s="1248">
        <v>1</v>
      </c>
      <c r="N2" s="1332" t="s">
        <v>1232</v>
      </c>
      <c r="O2" s="1247" t="s">
        <v>1233</v>
      </c>
      <c r="P2" s="1250" t="s">
        <v>37</v>
      </c>
      <c r="Q2" s="1251" t="s">
        <v>497</v>
      </c>
      <c r="R2" s="313" t="s">
        <v>1234</v>
      </c>
      <c r="S2" s="313" t="s">
        <v>1235</v>
      </c>
      <c r="T2" s="1252" t="s">
        <v>1236</v>
      </c>
      <c r="U2" s="1249" t="s">
        <v>1237</v>
      </c>
      <c r="V2" s="1253">
        <v>1</v>
      </c>
      <c r="W2" s="1254"/>
      <c r="X2" s="1254" t="s">
        <v>1238</v>
      </c>
      <c r="Y2" s="1245" t="s">
        <v>1239</v>
      </c>
      <c r="Z2" s="1255"/>
      <c r="AA2" s="1245" t="s">
        <v>1240</v>
      </c>
      <c r="AB2" s="1256" t="s">
        <v>1240</v>
      </c>
      <c r="AC2" s="1245" t="s">
        <v>1241</v>
      </c>
      <c r="AD2" s="1256" t="s">
        <v>1241</v>
      </c>
      <c r="AF2" s="1247" t="s">
        <v>1237</v>
      </c>
      <c r="AH2" s="1246" t="s">
        <v>1242</v>
      </c>
      <c r="AI2" s="1246" t="s">
        <v>1242</v>
      </c>
      <c r="AK2" s="1246" t="s">
        <v>1243</v>
      </c>
      <c r="AM2" s="1246" t="s">
        <v>1244</v>
      </c>
      <c r="AP2" s="1257" t="s">
        <v>1238</v>
      </c>
      <c r="AQ2" s="1258" t="s">
        <v>1238</v>
      </c>
      <c r="AS2" s="1245" t="s">
        <v>1245</v>
      </c>
      <c r="AU2" s="1290" t="s">
        <v>518</v>
      </c>
      <c r="AW2" s="1290" t="s">
        <v>1246</v>
      </c>
      <c r="AX2" s="1290" t="s">
        <v>1246</v>
      </c>
      <c r="AZ2" s="1290" t="s">
        <v>1247</v>
      </c>
      <c r="BB2" s="1290" t="s">
        <v>1248</v>
      </c>
      <c r="BC2" s="1290" t="s">
        <v>1249</v>
      </c>
      <c r="BE2" s="1290">
        <v>2000</v>
      </c>
      <c r="BF2" s="1290" t="s">
        <v>1250</v>
      </c>
    </row>
    <row customHeight="1" ht="11.25">
      <c r="A3" s="1244" t="s">
        <v>1251</v>
      </c>
      <c r="B3" s="1245">
        <v>2001</v>
      </c>
      <c r="C3" s="1245">
        <v>2023</v>
      </c>
      <c r="D3" s="1245" t="s">
        <v>19</v>
      </c>
      <c r="E3" s="1246" t="s">
        <v>1252</v>
      </c>
      <c r="F3" s="1246" t="s">
        <v>1253</v>
      </c>
      <c r="G3" s="1246" t="s">
        <v>1254</v>
      </c>
      <c r="H3" s="1247" t="s">
        <v>1255</v>
      </c>
      <c r="I3" s="1246" t="s">
        <v>109</v>
      </c>
      <c r="J3" s="1246" t="s">
        <v>568</v>
      </c>
      <c r="K3" s="1248" t="s">
        <v>1162</v>
      </c>
      <c r="L3" s="1249">
        <f>_xlfn.IFERROR(MATCH(K3,OFFER_METHOD,0),0)</f>
        <v>28</v>
      </c>
      <c r="M3" s="1248">
        <v>2</v>
      </c>
      <c r="N3" s="1332" t="s">
        <v>1256</v>
      </c>
      <c r="O3" s="1247" t="s">
        <v>1257</v>
      </c>
      <c r="P3" s="1250" t="s">
        <v>1258</v>
      </c>
      <c r="Q3" s="1251" t="s">
        <v>1259</v>
      </c>
      <c r="R3" s="313" t="s">
        <v>1260</v>
      </c>
      <c r="S3" s="313" t="s">
        <v>1261</v>
      </c>
      <c r="T3" s="1252" t="s">
        <v>1262</v>
      </c>
      <c r="U3" s="1249" t="s">
        <v>1263</v>
      </c>
      <c r="V3" s="1253">
        <v>2</v>
      </c>
      <c r="W3" s="1254"/>
      <c r="X3" s="1254" t="s">
        <v>1264</v>
      </c>
      <c r="Y3" s="1245" t="s">
        <v>1239</v>
      </c>
      <c r="Z3" s="1255"/>
      <c r="AA3" s="1245" t="s">
        <v>1265</v>
      </c>
      <c r="AB3" s="1256" t="s">
        <v>1265</v>
      </c>
      <c r="AC3" s="1245" t="s">
        <v>1266</v>
      </c>
      <c r="AD3" s="1256" t="s">
        <v>1266</v>
      </c>
      <c r="AF3" s="1247" t="s">
        <v>1263</v>
      </c>
      <c r="AH3" s="1246" t="s">
        <v>1267</v>
      </c>
      <c r="AI3" s="1246" t="s">
        <v>1268</v>
      </c>
      <c r="AK3" s="1246" t="s">
        <v>1269</v>
      </c>
      <c r="AM3" s="1246" t="s">
        <v>1270</v>
      </c>
      <c r="AP3" s="1257" t="s">
        <v>1271</v>
      </c>
      <c r="AQ3" s="1258" t="s">
        <v>1271</v>
      </c>
      <c r="AS3" s="1245" t="s">
        <v>1272</v>
      </c>
      <c r="AU3" s="1290" t="s">
        <v>520</v>
      </c>
      <c r="AW3" s="1290" t="s">
        <v>1273</v>
      </c>
      <c r="AX3" s="1290" t="s">
        <v>1273</v>
      </c>
      <c r="AZ3" s="1290" t="s">
        <v>1274</v>
      </c>
      <c r="BB3" s="1290" t="s">
        <v>1275</v>
      </c>
      <c r="BC3" s="1290" t="s">
        <v>1249</v>
      </c>
      <c r="BE3" s="1290">
        <v>2001</v>
      </c>
      <c r="BF3" s="1290" t="s">
        <v>1276</v>
      </c>
      <c r="BH3" s="1237" t="s">
        <v>1277</v>
      </c>
      <c r="BJ3" s="1237" t="s">
        <v>1278</v>
      </c>
      <c r="BL3" s="1237" t="s">
        <v>1279</v>
      </c>
      <c r="BN3" s="1237" t="s">
        <v>1280</v>
      </c>
      <c r="BR3" s="1237" t="s">
        <v>1281</v>
      </c>
      <c r="BS3" s="1598"/>
      <c r="BT3" s="1240"/>
      <c r="BU3" s="1237" t="s">
        <v>1282</v>
      </c>
      <c r="BV3" s="1240"/>
      <c r="BW3" s="1860"/>
      <c r="BX3" s="1862" t="s">
        <v>1283</v>
      </c>
      <c r="CA3" s="1237" t="s">
        <v>1284</v>
      </c>
    </row>
    <row customHeight="1" ht="11.25">
      <c r="A4" s="1244" t="s">
        <v>1285</v>
      </c>
      <c r="B4" s="1245">
        <v>2002</v>
      </c>
      <c r="C4" s="1245">
        <v>2024</v>
      </c>
      <c r="E4" s="1246" t="s">
        <v>1286</v>
      </c>
      <c r="F4" s="1246" t="s">
        <v>1287</v>
      </c>
      <c r="H4" s="1247" t="s">
        <v>1288</v>
      </c>
      <c r="I4" s="1246" t="s">
        <v>89</v>
      </c>
      <c r="J4" s="1246" t="s">
        <v>1289</v>
      </c>
      <c r="K4" s="1248" t="s">
        <v>1290</v>
      </c>
      <c r="L4" s="1249">
        <f>_xlfn.IFERROR(MATCH(K4,OFFER_METHOD,0),0)</f>
        <v>0</v>
      </c>
      <c r="M4" s="1248">
        <v>3</v>
      </c>
      <c r="N4" s="1332" t="s">
        <v>1291</v>
      </c>
      <c r="O4" s="1246" t="s">
        <v>1292</v>
      </c>
      <c r="Q4" s="1251" t="s">
        <v>1293</v>
      </c>
      <c r="R4" s="313" t="s">
        <v>1294</v>
      </c>
      <c r="S4" s="313" t="s">
        <v>1295</v>
      </c>
      <c r="T4" s="1252" t="s">
        <v>1296</v>
      </c>
      <c r="U4" s="1249" t="s">
        <v>1297</v>
      </c>
      <c r="V4" s="1253">
        <v>3</v>
      </c>
      <c r="W4" s="1254"/>
      <c r="X4" s="1254" t="s">
        <v>1298</v>
      </c>
      <c r="Y4" s="1245" t="s">
        <v>1239</v>
      </c>
      <c r="Z4" s="1261"/>
      <c r="AC4" s="1245" t="s">
        <v>1299</v>
      </c>
      <c r="AD4" s="1256" t="s">
        <v>1299</v>
      </c>
      <c r="AF4" s="1247" t="s">
        <v>1297</v>
      </c>
      <c r="AH4" s="1247" t="s">
        <v>1300</v>
      </c>
      <c r="AK4" s="1246" t="s">
        <v>1301</v>
      </c>
      <c r="AM4" s="1246" t="s">
        <v>1302</v>
      </c>
      <c r="AP4" s="1257" t="s">
        <v>1264</v>
      </c>
      <c r="AQ4" s="1258" t="s">
        <v>1264</v>
      </c>
      <c r="AS4" s="1245" t="s">
        <v>1303</v>
      </c>
      <c r="AU4" s="1290" t="s">
        <v>521</v>
      </c>
      <c r="AW4" s="1290" t="s">
        <v>1304</v>
      </c>
      <c r="AX4" s="1290" t="s">
        <v>1304</v>
      </c>
      <c r="AZ4" s="1290" t="s">
        <v>1305</v>
      </c>
      <c r="BB4" s="1290" t="s">
        <v>1306</v>
      </c>
      <c r="BC4" s="1290" t="s">
        <v>1307</v>
      </c>
      <c r="BE4" s="1290">
        <v>2002</v>
      </c>
      <c r="BF4" s="1290" t="s">
        <v>1308</v>
      </c>
      <c r="BH4" s="1238" t="s">
        <v>1309</v>
      </c>
      <c r="BJ4" s="1238" t="s">
        <v>1309</v>
      </c>
      <c r="BL4" s="1238" t="s">
        <v>1309</v>
      </c>
      <c r="BN4" s="1238" t="s">
        <v>1309</v>
      </c>
      <c r="BQ4" s="1602" t="s">
        <v>1310</v>
      </c>
      <c r="BR4" s="1329" t="s">
        <v>1311</v>
      </c>
      <c r="BS4" s="444"/>
      <c r="BT4" s="1602" t="s">
        <v>1312</v>
      </c>
      <c r="BU4" s="1329" t="s">
        <v>1313</v>
      </c>
      <c r="BV4" s="1240"/>
      <c r="BW4" s="1867" t="s">
        <v>1314</v>
      </c>
      <c r="BX4" s="1861" t="s">
        <v>1315</v>
      </c>
      <c r="BZ4" s="1602" t="s">
        <v>1316</v>
      </c>
      <c r="CA4" s="1329" t="s">
        <v>1317</v>
      </c>
    </row>
    <row customHeight="1" ht="11.25">
      <c r="A5" s="1244" t="s">
        <v>1318</v>
      </c>
      <c r="B5" s="1245">
        <v>2003</v>
      </c>
      <c r="C5" s="1245">
        <v>2025</v>
      </c>
      <c r="E5" s="1246" t="s">
        <v>1319</v>
      </c>
      <c r="F5" s="1246" t="s">
        <v>1320</v>
      </c>
      <c r="H5" s="1247" t="s">
        <v>1321</v>
      </c>
      <c r="I5" s="1246" t="s">
        <v>90</v>
      </c>
      <c r="K5" s="1248" t="s">
        <v>1322</v>
      </c>
      <c r="L5" s="1249">
        <f>_xlfn.IFERROR(MATCH(K5,OFFER_METHOD,0),0)</f>
        <v>0</v>
      </c>
      <c r="M5" s="1248">
        <v>4</v>
      </c>
      <c r="N5" s="1262" t="s">
        <v>1323</v>
      </c>
      <c r="O5" s="1246" t="s">
        <v>1324</v>
      </c>
      <c r="Q5" s="1251" t="s">
        <v>1325</v>
      </c>
      <c r="R5" s="313" t="s">
        <v>1326</v>
      </c>
      <c r="T5" s="1247" t="s">
        <v>1327</v>
      </c>
      <c r="U5" s="1249" t="s">
        <v>1328</v>
      </c>
      <c r="V5" s="1253">
        <v>4</v>
      </c>
      <c r="W5" s="1254"/>
      <c r="X5" s="1254" t="s">
        <v>165</v>
      </c>
      <c r="Y5" s="1245" t="s">
        <v>1329</v>
      </c>
      <c r="Z5" s="1261">
        <v>1</v>
      </c>
      <c r="AF5" s="1247" t="s">
        <v>1330</v>
      </c>
      <c r="AH5" s="1246" t="s">
        <v>1331</v>
      </c>
      <c r="AK5" s="1246" t="s">
        <v>1332</v>
      </c>
      <c r="AM5" s="1246" t="s">
        <v>1333</v>
      </c>
      <c r="AP5" s="1257" t="s">
        <v>165</v>
      </c>
      <c r="AQ5" s="1258" t="s">
        <v>165</v>
      </c>
      <c r="AU5" s="1290" t="s">
        <v>522</v>
      </c>
      <c r="AW5" s="1290" t="s">
        <v>1334</v>
      </c>
      <c r="AX5" s="1290" t="s">
        <v>1334</v>
      </c>
      <c r="AZ5" s="1290" t="s">
        <v>1335</v>
      </c>
      <c r="BB5" s="1290" t="s">
        <v>1336</v>
      </c>
      <c r="BC5" s="1290" t="s">
        <v>1337</v>
      </c>
      <c r="BE5" s="1290">
        <v>2003</v>
      </c>
      <c r="BF5" s="1290" t="s">
        <v>1338</v>
      </c>
      <c r="BH5" s="1238" t="s">
        <v>1339</v>
      </c>
      <c r="BJ5" s="1238" t="s">
        <v>1339</v>
      </c>
      <c r="BL5" s="1238" t="s">
        <v>1339</v>
      </c>
      <c r="BN5" s="1238" t="s">
        <v>1340</v>
      </c>
      <c r="BQ5" s="1451">
        <v>4213775</v>
      </c>
      <c r="BR5" s="1238" t="s">
        <v>1238</v>
      </c>
      <c r="BS5" s="1599"/>
      <c r="BT5" s="1451">
        <v>64236871</v>
      </c>
      <c r="BU5" s="1238" t="s">
        <v>231</v>
      </c>
      <c r="BV5" s="1240"/>
      <c r="BW5" s="1865">
        <v>4213767</v>
      </c>
      <c r="BX5" s="1863" t="s">
        <v>1341</v>
      </c>
      <c r="BZ5" s="1451">
        <v>64237509</v>
      </c>
      <c r="CA5" s="1465" t="s">
        <v>1342</v>
      </c>
    </row>
    <row customHeight="1" ht="11.25">
      <c r="A6" s="1244" t="s">
        <v>1343</v>
      </c>
      <c r="B6" s="1245">
        <v>2004</v>
      </c>
      <c r="C6" s="1245">
        <v>2026</v>
      </c>
      <c r="E6" s="1246" t="s">
        <v>1344</v>
      </c>
      <c r="F6" s="1263"/>
      <c r="H6" s="1247" t="s">
        <v>1345</v>
      </c>
      <c r="I6" s="1246" t="s">
        <v>110</v>
      </c>
      <c r="J6" s="1237" t="s">
        <v>1346</v>
      </c>
      <c r="L6" s="1249">
        <f>SUM(kind_of_control_method_filter)</f>
        <v>28</v>
      </c>
      <c r="N6" s="1262" t="s">
        <v>1347</v>
      </c>
      <c r="O6" s="1246" t="s">
        <v>1348</v>
      </c>
      <c r="R6" s="313" t="s">
        <v>497</v>
      </c>
      <c r="T6" s="1247" t="s">
        <v>1349</v>
      </c>
      <c r="U6" s="1249" t="s">
        <v>1330</v>
      </c>
      <c r="V6" s="1253">
        <v>5</v>
      </c>
      <c r="W6" s="1254"/>
      <c r="X6" s="1245" t="s">
        <v>171</v>
      </c>
      <c r="Y6" s="1245" t="s">
        <v>1350</v>
      </c>
      <c r="Z6" s="1261"/>
      <c r="AA6" s="1264"/>
      <c r="AH6" s="1246" t="s">
        <v>1351</v>
      </c>
      <c r="AK6" s="1246" t="s">
        <v>1352</v>
      </c>
      <c r="AM6" s="1246" t="s">
        <v>1353</v>
      </c>
      <c r="AP6" s="1257" t="s">
        <v>171</v>
      </c>
      <c r="AQ6" s="1258" t="s">
        <v>171</v>
      </c>
      <c r="AU6" s="1290" t="s">
        <v>523</v>
      </c>
      <c r="AW6" s="1290" t="s">
        <v>1354</v>
      </c>
      <c r="AX6" s="1290" t="s">
        <v>1354</v>
      </c>
      <c r="BB6" s="1290" t="s">
        <v>1355</v>
      </c>
      <c r="BC6" s="1290" t="s">
        <v>1337</v>
      </c>
      <c r="BE6" s="1290">
        <v>2004</v>
      </c>
      <c r="BF6" s="1290" t="s">
        <v>1356</v>
      </c>
      <c r="BH6" s="1238" t="s">
        <v>1357</v>
      </c>
      <c r="BJ6" s="1238" t="s">
        <v>1358</v>
      </c>
      <c r="BL6" s="1238" t="s">
        <v>1358</v>
      </c>
      <c r="BN6" s="1238" t="s">
        <v>1359</v>
      </c>
      <c r="BQ6" s="1451">
        <v>4213784</v>
      </c>
      <c r="BR6" s="1465" t="s">
        <v>1271</v>
      </c>
      <c r="BS6" s="1600"/>
      <c r="BT6" s="1451">
        <v>64236872</v>
      </c>
      <c r="BU6" s="1238" t="s">
        <v>236</v>
      </c>
      <c r="BV6" s="1240"/>
      <c r="BW6" s="1865">
        <v>4213768</v>
      </c>
      <c r="BX6" s="1863" t="s">
        <v>257</v>
      </c>
      <c r="BZ6" s="1451">
        <v>64237510</v>
      </c>
      <c r="CA6" s="1238" t="s">
        <v>1360</v>
      </c>
    </row>
    <row customHeight="1" ht="11.25">
      <c r="A7" s="1244" t="s">
        <v>1361</v>
      </c>
      <c r="B7" s="1245">
        <v>2005</v>
      </c>
      <c r="E7" s="1246" t="s">
        <v>1362</v>
      </c>
      <c r="F7" s="1263"/>
      <c r="H7" s="1247" t="s">
        <v>1363</v>
      </c>
      <c r="I7" s="1246" t="s">
        <v>91</v>
      </c>
      <c r="J7" s="1246" t="s">
        <v>1364</v>
      </c>
      <c r="N7" s="1266" t="s">
        <v>1365</v>
      </c>
      <c r="O7" s="1246" t="s">
        <v>1366</v>
      </c>
      <c r="U7" s="1249" t="s">
        <v>19</v>
      </c>
      <c r="V7" s="540" t="s">
        <v>91</v>
      </c>
      <c r="W7" s="1254"/>
      <c r="X7" s="1245" t="s">
        <v>177</v>
      </c>
      <c r="Y7" s="1245" t="s">
        <v>1329</v>
      </c>
      <c r="Z7" s="1261"/>
      <c r="AA7" s="1264"/>
      <c r="AH7" s="1246" t="s">
        <v>1367</v>
      </c>
      <c r="AK7" s="1246" t="s">
        <v>1368</v>
      </c>
      <c r="AM7" s="1246" t="s">
        <v>1369</v>
      </c>
      <c r="AP7" s="1257" t="s">
        <v>177</v>
      </c>
      <c r="AQ7" s="1258" t="s">
        <v>177</v>
      </c>
      <c r="AU7" s="1290" t="s">
        <v>524</v>
      </c>
      <c r="AW7" s="1290" t="s">
        <v>1370</v>
      </c>
      <c r="AX7" s="1290" t="s">
        <v>1370</v>
      </c>
      <c r="AZ7" s="1237" t="s">
        <v>1371</v>
      </c>
      <c r="BB7" s="1290" t="s">
        <v>1372</v>
      </c>
      <c r="BC7" s="1290" t="s">
        <v>1337</v>
      </c>
      <c r="BE7" s="1290">
        <v>2005</v>
      </c>
      <c r="BF7" s="1290" t="s">
        <v>1373</v>
      </c>
      <c r="BH7" s="1238" t="s">
        <v>1374</v>
      </c>
      <c r="BJ7" s="1238" t="s">
        <v>1357</v>
      </c>
      <c r="BL7" s="1238" t="s">
        <v>1357</v>
      </c>
      <c r="BN7" s="1238" t="s">
        <v>1375</v>
      </c>
      <c r="BQ7" s="1451">
        <v>4213781</v>
      </c>
      <c r="BR7" s="1238" t="s">
        <v>1264</v>
      </c>
      <c r="BS7" s="1599"/>
      <c r="BT7" s="1451">
        <v>64236873</v>
      </c>
      <c r="BU7" s="1238" t="s">
        <v>241</v>
      </c>
      <c r="BV7" s="1240"/>
      <c r="BW7" s="1865">
        <v>4213769</v>
      </c>
      <c r="BX7" s="1863" t="s">
        <v>1376</v>
      </c>
      <c r="BZ7" s="1451">
        <v>64237511</v>
      </c>
      <c r="CA7" s="1238" t="s">
        <v>272</v>
      </c>
    </row>
    <row customHeight="1" ht="11.25">
      <c r="A8" s="1244" t="s">
        <v>1377</v>
      </c>
      <c r="B8" s="1245">
        <v>2006</v>
      </c>
      <c r="E8" s="1246" t="s">
        <v>1378</v>
      </c>
      <c r="F8" s="1263"/>
      <c r="H8" s="1247" t="s">
        <v>1379</v>
      </c>
      <c r="I8" s="1246" t="s">
        <v>92</v>
      </c>
      <c r="J8" s="1246" t="s">
        <v>1380</v>
      </c>
      <c r="N8" s="1333" t="s">
        <v>1381</v>
      </c>
      <c r="O8" s="1246" t="s">
        <v>1382</v>
      </c>
      <c r="V8" s="540" t="s">
        <v>92</v>
      </c>
      <c r="W8" s="1254"/>
      <c r="X8" s="1245" t="s">
        <v>183</v>
      </c>
      <c r="Y8" s="1245" t="s">
        <v>1329</v>
      </c>
      <c r="Z8" s="1261"/>
      <c r="AA8" s="1264"/>
      <c r="AK8" s="1246" t="s">
        <v>1383</v>
      </c>
      <c r="AP8" s="1257" t="s">
        <v>183</v>
      </c>
      <c r="AQ8" s="1258" t="s">
        <v>183</v>
      </c>
      <c r="AU8" s="1290" t="s">
        <v>1384</v>
      </c>
      <c r="AW8" s="1290" t="s">
        <v>1385</v>
      </c>
      <c r="AX8" s="1290" t="s">
        <v>1385</v>
      </c>
      <c r="AZ8" s="1290" t="s">
        <v>1386</v>
      </c>
      <c r="BB8" s="1290" t="s">
        <v>1387</v>
      </c>
      <c r="BC8" s="1290" t="s">
        <v>1337</v>
      </c>
      <c r="BE8" s="1290">
        <v>2006</v>
      </c>
      <c r="BF8" s="1290" t="s">
        <v>1388</v>
      </c>
      <c r="BH8" s="1238" t="s">
        <v>1389</v>
      </c>
      <c r="BJ8" s="1238" t="s">
        <v>1390</v>
      </c>
      <c r="BL8" s="1238" t="s">
        <v>1390</v>
      </c>
      <c r="BN8" s="1238" t="s">
        <v>1391</v>
      </c>
      <c r="BQ8" s="1451">
        <v>4213776</v>
      </c>
      <c r="BR8" s="1238" t="s">
        <v>165</v>
      </c>
      <c r="BS8" s="1599"/>
      <c r="BT8" s="1451">
        <v>64236874</v>
      </c>
      <c r="BU8" s="1465" t="s">
        <v>1392</v>
      </c>
      <c r="BV8" s="1240"/>
      <c r="BW8" s="1865">
        <v>4213770</v>
      </c>
      <c r="BX8" s="1866" t="s">
        <v>1393</v>
      </c>
      <c r="BZ8" s="1451">
        <v>64237512</v>
      </c>
      <c r="CA8" s="1238" t="s">
        <v>267</v>
      </c>
    </row>
    <row customHeight="1" ht="11.25">
      <c r="A9" s="1244" t="s">
        <v>1394</v>
      </c>
      <c r="B9" s="1245">
        <v>2007</v>
      </c>
      <c r="E9" s="1246" t="s">
        <v>1395</v>
      </c>
      <c r="F9" s="1263"/>
      <c r="G9" s="1237" t="s">
        <v>1396</v>
      </c>
      <c r="H9" s="1237" t="s">
        <v>1397</v>
      </c>
      <c r="I9" s="1246" t="s">
        <v>111</v>
      </c>
      <c r="O9" s="1246" t="s">
        <v>1398</v>
      </c>
      <c r="V9" s="540" t="s">
        <v>111</v>
      </c>
      <c r="W9" s="1254"/>
      <c r="X9" s="1245" t="s">
        <v>189</v>
      </c>
      <c r="Y9" s="1245" t="s">
        <v>1239</v>
      </c>
      <c r="Z9" s="1261">
        <v>1</v>
      </c>
      <c r="AA9" s="1264"/>
      <c r="AK9" s="1246" t="s">
        <v>1399</v>
      </c>
      <c r="AP9" s="1257" t="s">
        <v>1400</v>
      </c>
      <c r="AQ9" s="1258" t="s">
        <v>1400</v>
      </c>
      <c r="AW9" s="1290" t="s">
        <v>1401</v>
      </c>
      <c r="AX9" s="1290" t="s">
        <v>1401</v>
      </c>
      <c r="AZ9" s="1290" t="s">
        <v>1402</v>
      </c>
      <c r="BB9" s="1290" t="s">
        <v>1403</v>
      </c>
      <c r="BC9" s="1290" t="s">
        <v>1337</v>
      </c>
      <c r="BE9" s="1290">
        <v>2007</v>
      </c>
      <c r="BF9" s="1290" t="s">
        <v>1404</v>
      </c>
      <c r="BH9" s="1238" t="s">
        <v>1405</v>
      </c>
      <c r="BJ9" s="1238" t="s">
        <v>1406</v>
      </c>
      <c r="BL9" s="1238" t="s">
        <v>1406</v>
      </c>
      <c r="BN9" s="1238" t="s">
        <v>1407</v>
      </c>
      <c r="BQ9" s="1451">
        <v>4213777</v>
      </c>
      <c r="BR9" s="1238" t="s">
        <v>171</v>
      </c>
      <c r="BS9" s="1599"/>
      <c r="BT9" s="1451">
        <v>64236875</v>
      </c>
      <c r="BU9" s="1238" t="s">
        <v>246</v>
      </c>
      <c r="BV9" s="1240"/>
      <c r="BW9" s="1860"/>
      <c r="BX9" s="1860"/>
    </row>
    <row customHeight="1" ht="11.25">
      <c r="A10" s="1244" t="s">
        <v>1408</v>
      </c>
      <c r="B10" s="1245">
        <v>2008</v>
      </c>
      <c r="E10" s="1246" t="s">
        <v>1409</v>
      </c>
      <c r="F10" s="1263"/>
      <c r="G10" s="1246" t="s">
        <v>1410</v>
      </c>
      <c r="H10" s="1246" t="s">
        <v>1411</v>
      </c>
      <c r="I10" s="1246" t="s">
        <v>147</v>
      </c>
      <c r="J10" s="1237" t="s">
        <v>1412</v>
      </c>
      <c r="K10" s="1237" t="s">
        <v>1413</v>
      </c>
      <c r="O10" s="1246" t="s">
        <v>1414</v>
      </c>
      <c r="V10" s="541" t="s">
        <v>147</v>
      </c>
      <c r="W10" s="1267"/>
      <c r="X10" s="1267" t="s">
        <v>1415</v>
      </c>
      <c r="Y10" s="1268" t="s">
        <v>1416</v>
      </c>
      <c r="Z10" s="1261"/>
      <c r="AP10" s="1257" t="s">
        <v>1415</v>
      </c>
      <c r="AQ10" s="1258" t="s">
        <v>1415</v>
      </c>
      <c r="AW10" s="1290" t="s">
        <v>1417</v>
      </c>
      <c r="AX10" s="1290" t="s">
        <v>1417</v>
      </c>
      <c r="AZ10" s="1290" t="s">
        <v>1418</v>
      </c>
      <c r="BB10" s="1290" t="s">
        <v>1419</v>
      </c>
      <c r="BC10" s="1290" t="s">
        <v>1337</v>
      </c>
      <c r="BE10" s="1290">
        <v>2008</v>
      </c>
      <c r="BF10" s="1290" t="s">
        <v>1420</v>
      </c>
      <c r="BH10" s="1238" t="s">
        <v>1421</v>
      </c>
      <c r="BJ10" s="1238" t="s">
        <v>1422</v>
      </c>
      <c r="BL10" s="1238" t="s">
        <v>1422</v>
      </c>
      <c r="BN10" s="1238" t="s">
        <v>1423</v>
      </c>
      <c r="BQ10" s="1451">
        <v>4213778</v>
      </c>
      <c r="BR10" s="1238" t="s">
        <v>177</v>
      </c>
      <c r="BS10" s="1599"/>
      <c r="BT10" s="1451">
        <v>64236876</v>
      </c>
      <c r="BU10" s="1238" t="s">
        <v>221</v>
      </c>
      <c r="BV10" s="1240"/>
      <c r="BW10" s="1860"/>
      <c r="BX10" s="1860"/>
    </row>
    <row customHeight="1" ht="11.25">
      <c r="A11" s="1244" t="s">
        <v>1424</v>
      </c>
      <c r="B11" s="1245">
        <v>2009</v>
      </c>
      <c r="E11" s="1246" t="s">
        <v>1425</v>
      </c>
      <c r="F11" s="1263"/>
      <c r="G11" s="1246" t="s">
        <v>1426</v>
      </c>
      <c r="H11" s="1246" t="s">
        <v>1427</v>
      </c>
      <c r="I11" s="1246" t="s">
        <v>148</v>
      </c>
      <c r="J11" s="1247" t="s">
        <v>1428</v>
      </c>
      <c r="K11" s="1269" t="s">
        <v>1429</v>
      </c>
      <c r="O11" s="1247" t="s">
        <v>1430</v>
      </c>
      <c r="V11" s="540" t="s">
        <v>148</v>
      </c>
      <c r="W11" s="445"/>
      <c r="X11" s="1254" t="s">
        <v>1400</v>
      </c>
      <c r="Y11" s="1245" t="s">
        <v>1431</v>
      </c>
      <c r="Z11" s="1261"/>
      <c r="AP11" s="1257" t="s">
        <v>189</v>
      </c>
      <c r="AQ11" s="1259" t="s">
        <v>189</v>
      </c>
      <c r="AW11" s="1290" t="s">
        <v>1432</v>
      </c>
      <c r="AX11" s="1290" t="s">
        <v>1432</v>
      </c>
      <c r="AZ11" s="1290" t="s">
        <v>1433</v>
      </c>
      <c r="BB11" s="1290" t="s">
        <v>1434</v>
      </c>
      <c r="BC11" s="1290" t="s">
        <v>1337</v>
      </c>
      <c r="BE11" s="1290">
        <v>2009</v>
      </c>
      <c r="BF11" s="1290" t="s">
        <v>1435</v>
      </c>
      <c r="BH11" s="1238" t="s">
        <v>1436</v>
      </c>
      <c r="BJ11" s="1238" t="s">
        <v>1405</v>
      </c>
      <c r="BL11" s="1238" t="s">
        <v>1405</v>
      </c>
      <c r="BN11" s="1238" t="s">
        <v>1437</v>
      </c>
      <c r="BQ11" s="1451">
        <v>4213780</v>
      </c>
      <c r="BR11" s="1238" t="s">
        <v>183</v>
      </c>
      <c r="BS11" s="1599"/>
      <c r="BW11" s="1860"/>
      <c r="BX11" s="1860"/>
    </row>
    <row customHeight="1" ht="11.25">
      <c r="A12" s="1244" t="s">
        <v>1438</v>
      </c>
      <c r="B12" s="1245">
        <v>2010</v>
      </c>
      <c r="E12" s="1246" t="s">
        <v>1439</v>
      </c>
      <c r="F12" s="1263"/>
      <c r="G12" s="1246" t="s">
        <v>1427</v>
      </c>
      <c r="I12" s="1246" t="s">
        <v>149</v>
      </c>
      <c r="J12" s="1247" t="s">
        <v>1440</v>
      </c>
      <c r="K12" s="1269" t="s">
        <v>1441</v>
      </c>
      <c r="O12" s="1247" t="s">
        <v>497</v>
      </c>
      <c r="V12" s="540" t="s">
        <v>149</v>
      </c>
      <c r="W12" s="1259"/>
      <c r="X12" s="1254" t="s">
        <v>1442</v>
      </c>
      <c r="Y12" s="1245" t="s">
        <v>1239</v>
      </c>
      <c r="AP12" s="1257"/>
      <c r="AW12" s="1290" t="s">
        <v>148</v>
      </c>
      <c r="AX12" s="1290" t="s">
        <v>148</v>
      </c>
      <c r="AZ12" s="1290" t="s">
        <v>1443</v>
      </c>
      <c r="BB12" s="1290" t="s">
        <v>1444</v>
      </c>
      <c r="BC12" s="1290" t="s">
        <v>1337</v>
      </c>
      <c r="BE12" s="1290">
        <v>2010</v>
      </c>
      <c r="BF12" s="1290" t="s">
        <v>1445</v>
      </c>
      <c r="BH12" s="1238" t="s">
        <v>1446</v>
      </c>
      <c r="BJ12" s="1238" t="s">
        <v>1447</v>
      </c>
      <c r="BL12" s="1238" t="s">
        <v>1447</v>
      </c>
      <c r="BN12" s="1238" t="s">
        <v>1448</v>
      </c>
      <c r="BQ12" s="1451">
        <v>4213779</v>
      </c>
      <c r="BR12" s="1238" t="s">
        <v>1400</v>
      </c>
      <c r="BS12" s="1599"/>
      <c r="BT12" s="1240"/>
      <c r="BU12" s="1240"/>
      <c r="BV12" s="1240"/>
      <c r="BW12" s="1860"/>
      <c r="BX12" s="1860"/>
    </row>
    <row customHeight="1" ht="11.25">
      <c r="A13" s="1244" t="s">
        <v>1449</v>
      </c>
      <c r="B13" s="1245">
        <v>2011</v>
      </c>
      <c r="E13" s="1246" t="s">
        <v>1450</v>
      </c>
      <c r="F13" s="1263"/>
      <c r="I13" s="1246" t="s">
        <v>150</v>
      </c>
      <c r="K13" s="1269" t="s">
        <v>1399</v>
      </c>
      <c r="V13" s="540" t="s">
        <v>150</v>
      </c>
      <c r="W13" s="1259"/>
      <c r="X13" s="1259"/>
      <c r="Y13" s="1259"/>
      <c r="AW13" s="1290" t="s">
        <v>149</v>
      </c>
      <c r="AX13" s="1290" t="s">
        <v>149</v>
      </c>
      <c r="BB13" s="1290" t="s">
        <v>1451</v>
      </c>
      <c r="BC13" s="1290" t="s">
        <v>1452</v>
      </c>
      <c r="BE13" s="1290">
        <v>2011</v>
      </c>
      <c r="BF13" s="1290" t="s">
        <v>1453</v>
      </c>
      <c r="BH13" s="1238" t="s">
        <v>1454</v>
      </c>
      <c r="BJ13" s="1238" t="s">
        <v>1436</v>
      </c>
      <c r="BL13" s="1238" t="s">
        <v>1436</v>
      </c>
      <c r="BN13" s="1238" t="s">
        <v>1455</v>
      </c>
      <c r="BQ13" s="1451">
        <v>4213783</v>
      </c>
      <c r="BR13" s="1238" t="s">
        <v>1415</v>
      </c>
      <c r="BS13" s="1599"/>
      <c r="BT13" s="1240"/>
      <c r="BU13" s="1240"/>
      <c r="BV13" s="1240"/>
      <c r="BW13" s="1864"/>
      <c r="BX13" s="1860"/>
    </row>
    <row customHeight="1" ht="11.25">
      <c r="A14" s="1244" t="s">
        <v>1456</v>
      </c>
      <c r="B14" s="1245">
        <v>2012</v>
      </c>
      <c r="I14" s="1246" t="s">
        <v>151</v>
      </c>
      <c r="J14" s="1237" t="s">
        <v>1457</v>
      </c>
      <c r="N14" s="1237" t="s">
        <v>1458</v>
      </c>
      <c r="V14" s="1253">
        <v>13</v>
      </c>
      <c r="W14" s="1254"/>
      <c r="X14" s="1254" t="s">
        <v>1271</v>
      </c>
      <c r="Y14" s="1245" t="s">
        <v>1239</v>
      </c>
      <c r="AW14" s="1290" t="s">
        <v>150</v>
      </c>
      <c r="AX14" s="1290" t="s">
        <v>150</v>
      </c>
      <c r="AZ14" s="1237" t="s">
        <v>1459</v>
      </c>
      <c r="BB14" s="1290" t="s">
        <v>1460</v>
      </c>
      <c r="BC14" s="1290" t="s">
        <v>1452</v>
      </c>
      <c r="BE14" s="1290">
        <v>2012</v>
      </c>
      <c r="BH14" s="1238" t="s">
        <v>1375</v>
      </c>
      <c r="BJ14" s="1387" t="s">
        <v>1461</v>
      </c>
      <c r="BL14" s="1387" t="s">
        <v>1461</v>
      </c>
      <c r="BN14" s="1238" t="s">
        <v>1462</v>
      </c>
      <c r="BQ14" s="1451">
        <v>4213782</v>
      </c>
      <c r="BR14" s="1238" t="s">
        <v>189</v>
      </c>
      <c r="BS14" s="1599"/>
      <c r="BT14" s="1240"/>
      <c r="BU14" s="1240"/>
      <c r="BV14" s="1240"/>
      <c r="BW14" s="1864"/>
      <c r="BX14" s="1860"/>
    </row>
    <row customHeight="1" ht="19.5">
      <c r="A15" s="1244" t="s">
        <v>1463</v>
      </c>
      <c r="B15" s="1245">
        <v>2013</v>
      </c>
      <c r="E15" s="1868" t="s">
        <v>1464</v>
      </c>
      <c r="G15" s="1237" t="s">
        <v>1465</v>
      </c>
      <c r="H15" s="1237" t="s">
        <v>1466</v>
      </c>
      <c r="I15" s="1248" t="s">
        <v>152</v>
      </c>
      <c r="J15" s="1259" t="s">
        <v>595</v>
      </c>
      <c r="N15" s="1328" t="s">
        <v>1467</v>
      </c>
      <c r="X15" s="1257"/>
      <c r="AW15" s="1290" t="s">
        <v>151</v>
      </c>
      <c r="AX15" s="1290" t="s">
        <v>151</v>
      </c>
      <c r="AZ15" s="1290" t="s">
        <v>1386</v>
      </c>
      <c r="BB15" s="1290" t="s">
        <v>1468</v>
      </c>
      <c r="BC15" s="1290" t="s">
        <v>1452</v>
      </c>
      <c r="BE15" s="1290">
        <v>2013</v>
      </c>
      <c r="BH15" s="1238" t="s">
        <v>1391</v>
      </c>
      <c r="BJ15" s="1387" t="s">
        <v>1469</v>
      </c>
      <c r="BL15" s="1387" t="s">
        <v>1469</v>
      </c>
      <c r="BN15" s="1238" t="s">
        <v>1470</v>
      </c>
      <c r="BR15" s="1240"/>
      <c r="BS15" s="1601"/>
      <c r="BT15" s="1240"/>
      <c r="BU15" s="1240"/>
      <c r="BV15" s="1240"/>
      <c r="BW15" s="1864"/>
      <c r="BX15" s="1860"/>
    </row>
    <row customHeight="1" ht="21">
      <c r="A16" s="2040" t="s">
        <v>1471</v>
      </c>
      <c r="B16" s="1245">
        <v>2014</v>
      </c>
      <c r="E16" s="1869" t="s">
        <v>1472</v>
      </c>
      <c r="G16" s="1246" t="s">
        <v>1473</v>
      </c>
      <c r="H16" s="1246" t="s">
        <v>1474</v>
      </c>
      <c r="I16" s="1248" t="s">
        <v>1475</v>
      </c>
      <c r="J16" s="1259" t="s">
        <v>568</v>
      </c>
      <c r="N16" s="1328" t="s">
        <v>1476</v>
      </c>
      <c r="AW16" s="1290" t="s">
        <v>152</v>
      </c>
      <c r="AX16" s="1290" t="s">
        <v>152</v>
      </c>
      <c r="AZ16" s="1290" t="s">
        <v>1402</v>
      </c>
      <c r="BB16" s="1290" t="s">
        <v>1477</v>
      </c>
      <c r="BC16" s="1290" t="s">
        <v>1452</v>
      </c>
      <c r="BE16" s="1290">
        <v>2014</v>
      </c>
      <c r="BH16" s="1238" t="s">
        <v>1407</v>
      </c>
      <c r="BJ16" s="1387" t="s">
        <v>1478</v>
      </c>
      <c r="BL16" s="1387" t="s">
        <v>1478</v>
      </c>
      <c r="BN16" s="1238" t="s">
        <v>1479</v>
      </c>
      <c r="BR16" s="1240"/>
      <c r="BS16" s="1601"/>
      <c r="BT16" s="1240"/>
      <c r="BU16" s="1240"/>
      <c r="BV16" s="1240"/>
      <c r="BW16" s="1864"/>
      <c r="BX16" s="1860"/>
    </row>
    <row customHeight="1" ht="21">
      <c r="A17" s="1244" t="s">
        <v>1480</v>
      </c>
      <c r="B17" s="1245">
        <v>2015</v>
      </c>
      <c r="G17" s="1246" t="s">
        <v>1427</v>
      </c>
      <c r="H17" s="1246" t="s">
        <v>1427</v>
      </c>
      <c r="I17" s="1246" t="s">
        <v>1481</v>
      </c>
      <c r="N17" s="1328" t="s">
        <v>1482</v>
      </c>
      <c r="X17" s="1257"/>
      <c r="AW17" s="1290" t="s">
        <v>1475</v>
      </c>
      <c r="AX17" s="1290" t="s">
        <v>1475</v>
      </c>
      <c r="AZ17" s="1290" t="s">
        <v>1483</v>
      </c>
      <c r="BB17" s="1290" t="s">
        <v>1484</v>
      </c>
      <c r="BC17" s="1290" t="s">
        <v>1337</v>
      </c>
      <c r="BE17" s="1290">
        <v>2015</v>
      </c>
      <c r="BH17" s="1238" t="s">
        <v>1423</v>
      </c>
      <c r="BJ17" s="1387" t="s">
        <v>1485</v>
      </c>
      <c r="BL17" s="1387" t="s">
        <v>1485</v>
      </c>
      <c r="BN17" s="1238" t="s">
        <v>1486</v>
      </c>
      <c r="BR17" s="1237" t="s">
        <v>1281</v>
      </c>
      <c r="BS17" s="1598"/>
      <c r="BU17" s="1237" t="s">
        <v>1487</v>
      </c>
      <c r="BV17" s="1240"/>
      <c r="BW17" s="1860"/>
      <c r="BX17" s="1862" t="s">
        <v>1488</v>
      </c>
      <c r="CA17" s="1237" t="s">
        <v>1489</v>
      </c>
      <c r="CD17" s="1237" t="s">
        <v>1490</v>
      </c>
    </row>
    <row customHeight="1" ht="21">
      <c r="A18" s="1244" t="s">
        <v>1491</v>
      </c>
      <c r="B18" s="1245">
        <v>2016</v>
      </c>
      <c r="E18" s="2175" t="s">
        <v>1492</v>
      </c>
      <c r="I18" s="1246" t="s">
        <v>1493</v>
      </c>
      <c r="N18" s="1328" t="s">
        <v>1494</v>
      </c>
      <c r="X18" s="1257"/>
      <c r="AW18" s="1290" t="s">
        <v>1481</v>
      </c>
      <c r="AX18" s="1290" t="s">
        <v>1481</v>
      </c>
      <c r="BB18" s="1290" t="s">
        <v>1495</v>
      </c>
      <c r="BC18" s="1290" t="s">
        <v>1337</v>
      </c>
      <c r="BE18" s="1290">
        <v>2016</v>
      </c>
      <c r="BH18" s="1238" t="s">
        <v>1437</v>
      </c>
      <c r="BJ18" s="1387" t="s">
        <v>1496</v>
      </c>
      <c r="BL18" s="1387" t="s">
        <v>1496</v>
      </c>
      <c r="BN18" s="1238" t="s">
        <v>1497</v>
      </c>
      <c r="BQ18" s="1602" t="s">
        <v>1310</v>
      </c>
      <c r="BR18" s="1329" t="s">
        <v>1311</v>
      </c>
      <c r="BS18" s="444"/>
      <c r="BT18" s="1602" t="s">
        <v>1498</v>
      </c>
      <c r="BU18" s="1329" t="s">
        <v>1499</v>
      </c>
      <c r="BV18" s="1240"/>
      <c r="BW18" s="1867" t="s">
        <v>1500</v>
      </c>
      <c r="BX18" s="1861" t="s">
        <v>1501</v>
      </c>
      <c r="BZ18" s="1602" t="s">
        <v>1502</v>
      </c>
      <c r="CA18" s="1329" t="s">
        <v>1503</v>
      </c>
      <c r="CC18" s="1602" t="s">
        <v>1504</v>
      </c>
      <c r="CD18" s="1329" t="s">
        <v>1505</v>
      </c>
    </row>
    <row customHeight="1" ht="21">
      <c r="A19" s="2040" t="s">
        <v>1506</v>
      </c>
      <c r="B19" s="1245">
        <v>2017</v>
      </c>
      <c r="E19" s="1244" t="s">
        <v>164</v>
      </c>
      <c r="I19" s="1246" t="s">
        <v>1507</v>
      </c>
      <c r="N19" s="1328" t="s">
        <v>1508</v>
      </c>
      <c r="X19" s="1257"/>
      <c r="AW19" s="1290" t="s">
        <v>1493</v>
      </c>
      <c r="AX19" s="1290" t="s">
        <v>1493</v>
      </c>
      <c r="AZ19" s="1237" t="s">
        <v>1509</v>
      </c>
      <c r="BB19" s="1290" t="s">
        <v>1510</v>
      </c>
      <c r="BC19" s="1290" t="s">
        <v>1337</v>
      </c>
      <c r="BE19" s="1290">
        <v>2017</v>
      </c>
      <c r="BH19" s="1238" t="s">
        <v>1511</v>
      </c>
      <c r="BJ19" s="1387" t="s">
        <v>1512</v>
      </c>
      <c r="BL19" s="1387" t="s">
        <v>1512</v>
      </c>
      <c r="BQ19" s="1451">
        <v>4190064</v>
      </c>
      <c r="BR19" s="1238" t="s">
        <v>1513</v>
      </c>
      <c r="BS19" s="1599"/>
      <c r="BT19" s="1451">
        <v>4189671</v>
      </c>
      <c r="BU19" s="1238" t="s">
        <v>222</v>
      </c>
      <c r="BV19" s="1240"/>
      <c r="BW19" s="1865">
        <v>4189706</v>
      </c>
      <c r="BX19" s="1863" t="s">
        <v>1514</v>
      </c>
      <c r="BZ19" s="1451">
        <v>4189714</v>
      </c>
      <c r="CA19" s="1238" t="s">
        <v>1515</v>
      </c>
      <c r="CC19" s="1451">
        <v>4189708</v>
      </c>
      <c r="CD19" s="1238" t="s">
        <v>1516</v>
      </c>
    </row>
    <row customHeight="1" ht="21">
      <c r="A20" s="1244" t="s">
        <v>1517</v>
      </c>
      <c r="B20" s="1245">
        <v>2018</v>
      </c>
      <c r="E20" s="1244" t="s">
        <v>1271</v>
      </c>
      <c r="I20" s="1246" t="s">
        <v>1518</v>
      </c>
      <c r="N20" s="1328" t="s">
        <v>1519</v>
      </c>
      <c r="AW20" s="1290" t="s">
        <v>1507</v>
      </c>
      <c r="AX20" s="1290" t="s">
        <v>1507</v>
      </c>
      <c r="AZ20" s="1290" t="s">
        <v>1520</v>
      </c>
      <c r="BB20" s="1290" t="s">
        <v>1521</v>
      </c>
      <c r="BC20" s="1290" t="s">
        <v>1452</v>
      </c>
      <c r="BE20" s="1290">
        <v>2018</v>
      </c>
      <c r="BH20" s="1238" t="s">
        <v>1448</v>
      </c>
      <c r="BJ20" s="1238" t="s">
        <v>1375</v>
      </c>
      <c r="BL20" s="1238" t="s">
        <v>1375</v>
      </c>
      <c r="BQ20" s="1451">
        <v>4190065</v>
      </c>
      <c r="BR20" s="1238" t="s">
        <v>1522</v>
      </c>
      <c r="BS20" s="1599"/>
      <c r="BT20" s="1451">
        <v>4189672</v>
      </c>
      <c r="BU20" s="1238" t="s">
        <v>1523</v>
      </c>
      <c r="BV20" s="1240"/>
      <c r="BW20" s="1865">
        <v>4189705</v>
      </c>
      <c r="BX20" s="1863" t="s">
        <v>1524</v>
      </c>
      <c r="BZ20" s="1451">
        <v>4189713</v>
      </c>
      <c r="CA20" s="1238" t="s">
        <v>1524</v>
      </c>
      <c r="CC20" s="1451">
        <v>4189709</v>
      </c>
      <c r="CD20" s="1238" t="s">
        <v>1525</v>
      </c>
    </row>
    <row customHeight="1" ht="21">
      <c r="A21" s="1244" t="s">
        <v>1526</v>
      </c>
      <c r="B21" s="1245">
        <v>2019</v>
      </c>
      <c r="I21" s="1246" t="s">
        <v>1527</v>
      </c>
      <c r="N21" s="1328" t="s">
        <v>1528</v>
      </c>
      <c r="AW21" s="1290" t="s">
        <v>1518</v>
      </c>
      <c r="AX21" s="1290" t="s">
        <v>1518</v>
      </c>
      <c r="AZ21" s="1290" t="s">
        <v>1529</v>
      </c>
      <c r="BB21" s="1290" t="s">
        <v>1530</v>
      </c>
      <c r="BC21" s="1290" t="s">
        <v>1337</v>
      </c>
      <c r="BE21" s="1290">
        <v>2019</v>
      </c>
      <c r="BH21" s="1238" t="s">
        <v>1455</v>
      </c>
      <c r="BJ21" s="1238" t="s">
        <v>1391</v>
      </c>
      <c r="BL21" s="1238" t="s">
        <v>1391</v>
      </c>
      <c r="BQ21" s="1451">
        <v>4190066</v>
      </c>
      <c r="BR21" s="1238" t="s">
        <v>1531</v>
      </c>
      <c r="BS21" s="1599"/>
      <c r="BT21" s="1451">
        <v>4189673</v>
      </c>
      <c r="BU21" s="1238" t="s">
        <v>1532</v>
      </c>
      <c r="BV21" s="1240"/>
      <c r="BW21" s="1865">
        <v>4189707</v>
      </c>
      <c r="BX21" s="1863" t="s">
        <v>1533</v>
      </c>
      <c r="BZ21" s="1451">
        <v>4189712</v>
      </c>
      <c r="CA21" s="1238" t="s">
        <v>1534</v>
      </c>
      <c r="CC21" s="1451">
        <v>4189710</v>
      </c>
      <c r="CD21" s="1238" t="s">
        <v>1535</v>
      </c>
    </row>
    <row customHeight="1" ht="21">
      <c r="A22" s="1244" t="s">
        <v>1536</v>
      </c>
      <c r="B22" s="1245">
        <v>2020</v>
      </c>
      <c r="N22" s="1328" t="s">
        <v>1537</v>
      </c>
      <c r="AW22" s="1290" t="s">
        <v>1527</v>
      </c>
      <c r="AX22" s="1290" t="s">
        <v>1527</v>
      </c>
      <c r="AZ22" s="1290" t="s">
        <v>1538</v>
      </c>
      <c r="BB22" s="1290" t="s">
        <v>1539</v>
      </c>
      <c r="BC22" s="1290" t="s">
        <v>1337</v>
      </c>
      <c r="BE22" s="1290">
        <v>2020</v>
      </c>
      <c r="BH22" s="1238" t="s">
        <v>1462</v>
      </c>
      <c r="BJ22" s="1238" t="s">
        <v>1407</v>
      </c>
      <c r="BL22" s="1238" t="s">
        <v>1407</v>
      </c>
      <c r="BQ22" s="1451">
        <v>4190067</v>
      </c>
      <c r="BR22" s="1238" t="s">
        <v>1540</v>
      </c>
      <c r="BS22" s="1599"/>
      <c r="BT22" s="1451">
        <v>4189674</v>
      </c>
      <c r="BU22" s="1238" t="s">
        <v>1541</v>
      </c>
      <c r="BV22" s="1240"/>
      <c r="BW22" s="1240"/>
      <c r="CC22" s="1451">
        <v>4189711</v>
      </c>
      <c r="CD22" s="1238" t="s">
        <v>296</v>
      </c>
    </row>
    <row customHeight="1" ht="21">
      <c r="A23" s="1244" t="s">
        <v>1542</v>
      </c>
      <c r="B23" s="1245">
        <v>2021</v>
      </c>
      <c r="AW23" s="1290" t="s">
        <v>1543</v>
      </c>
      <c r="AX23" s="1290" t="s">
        <v>1543</v>
      </c>
      <c r="AZ23" s="1290" t="s">
        <v>1544</v>
      </c>
      <c r="BB23" s="1290" t="s">
        <v>1545</v>
      </c>
      <c r="BC23" s="1290" t="s">
        <v>1249</v>
      </c>
      <c r="BE23" s="1290">
        <v>2021</v>
      </c>
      <c r="BH23" s="1238" t="s">
        <v>1470</v>
      </c>
      <c r="BJ23" s="1238" t="s">
        <v>1423</v>
      </c>
      <c r="BL23" s="1238" t="s">
        <v>1423</v>
      </c>
      <c r="BQ23" s="1451">
        <v>4190068</v>
      </c>
      <c r="BR23" s="1238" t="s">
        <v>1546</v>
      </c>
      <c r="BS23" s="1599"/>
      <c r="BT23" s="1451">
        <v>4189675</v>
      </c>
      <c r="BU23" s="1238" t="s">
        <v>1547</v>
      </c>
      <c r="BV23" s="1240"/>
      <c r="BW23" s="1240"/>
      <c r="CC23" s="1451">
        <v>5110778</v>
      </c>
      <c r="CD23" s="1238" t="s">
        <v>1548</v>
      </c>
    </row>
    <row customHeight="1" ht="21">
      <c r="A24" s="1244" t="s">
        <v>1549</v>
      </c>
      <c r="B24" s="1245">
        <v>2022</v>
      </c>
      <c r="AW24" s="1290" t="s">
        <v>1550</v>
      </c>
      <c r="AX24" s="1290" t="s">
        <v>1550</v>
      </c>
      <c r="AZ24" s="1290" t="s">
        <v>1551</v>
      </c>
      <c r="BB24" s="1290" t="s">
        <v>1552</v>
      </c>
      <c r="BC24" s="1290" t="s">
        <v>1553</v>
      </c>
      <c r="BE24" s="1290">
        <v>2022</v>
      </c>
      <c r="BH24" s="1238" t="s">
        <v>1479</v>
      </c>
      <c r="BJ24" s="1238" t="s">
        <v>1437</v>
      </c>
      <c r="BL24" s="1238" t="s">
        <v>1437</v>
      </c>
      <c r="BQ24" s="1451">
        <v>4190069</v>
      </c>
      <c r="BR24" s="1238" t="s">
        <v>1554</v>
      </c>
      <c r="BS24" s="1599"/>
      <c r="BT24" s="1451">
        <v>4189676</v>
      </c>
      <c r="BU24" s="1238" t="s">
        <v>1555</v>
      </c>
      <c r="BV24" s="1240"/>
      <c r="BW24" s="1240"/>
      <c r="CC24" s="1451">
        <v>25575374</v>
      </c>
      <c r="CD24" s="1238" t="s">
        <v>1556</v>
      </c>
    </row>
    <row customHeight="1" ht="11.25">
      <c r="A25" s="1244" t="s">
        <v>1557</v>
      </c>
      <c r="B25" s="1245">
        <v>2023</v>
      </c>
      <c r="AW25" s="1290" t="s">
        <v>1558</v>
      </c>
      <c r="AX25" s="1290" t="s">
        <v>1558</v>
      </c>
      <c r="AZ25" s="1290" t="s">
        <v>1559</v>
      </c>
      <c r="BB25" s="1290" t="s">
        <v>1560</v>
      </c>
      <c r="BC25" s="1290" t="s">
        <v>1553</v>
      </c>
      <c r="BE25" s="1290">
        <v>2023</v>
      </c>
      <c r="BH25" s="1238" t="s">
        <v>1486</v>
      </c>
      <c r="BJ25" s="1238" t="s">
        <v>1511</v>
      </c>
      <c r="BL25" s="1238" t="s">
        <v>1511</v>
      </c>
      <c r="BQ25" s="1451">
        <v>4190070</v>
      </c>
      <c r="BR25" s="1238" t="s">
        <v>1561</v>
      </c>
      <c r="BS25" s="1599"/>
      <c r="BT25" s="1451">
        <v>4189677</v>
      </c>
      <c r="BU25" s="1238" t="s">
        <v>1562</v>
      </c>
      <c r="BV25" s="1240"/>
      <c r="BW25" s="1240"/>
    </row>
    <row customHeight="1" ht="11.25">
      <c r="A26" s="1244" t="s">
        <v>1563</v>
      </c>
      <c r="B26" s="1245">
        <v>2024</v>
      </c>
      <c r="J26" s="1901" t="s">
        <v>1564</v>
      </c>
      <c r="AX26" s="1290" t="s">
        <v>1565</v>
      </c>
      <c r="AZ26" s="1290" t="s">
        <v>1430</v>
      </c>
      <c r="BB26" s="1290" t="s">
        <v>1566</v>
      </c>
      <c r="BC26" s="1290" t="s">
        <v>1553</v>
      </c>
      <c r="BE26" s="1290">
        <v>2024</v>
      </c>
      <c r="BH26" s="1238" t="s">
        <v>1497</v>
      </c>
      <c r="BJ26" s="1238" t="s">
        <v>1448</v>
      </c>
      <c r="BL26" s="1238" t="s">
        <v>1448</v>
      </c>
      <c r="BQ26" s="1451">
        <v>4190071</v>
      </c>
      <c r="BR26" s="1238" t="s">
        <v>1567</v>
      </c>
      <c r="BS26" s="1599"/>
      <c r="BV26" s="1240"/>
      <c r="BW26" s="1240"/>
    </row>
    <row customHeight="1" ht="11.25">
      <c r="A27" s="1244" t="s">
        <v>1568</v>
      </c>
      <c r="B27" s="1245">
        <v>2025</v>
      </c>
      <c r="J27" s="346" t="s">
        <v>489</v>
      </c>
      <c r="AX27" s="1290" t="s">
        <v>1569</v>
      </c>
      <c r="BB27" s="1290" t="s">
        <v>1570</v>
      </c>
      <c r="BC27" s="1290" t="s">
        <v>1553</v>
      </c>
      <c r="BE27" s="1290">
        <v>2025</v>
      </c>
      <c r="BH27" s="1240" t="s">
        <v>28</v>
      </c>
      <c r="BJ27" s="1238" t="s">
        <v>1455</v>
      </c>
      <c r="BL27" s="1238" t="s">
        <v>1455</v>
      </c>
      <c r="BN27" s="1240" t="s">
        <v>28</v>
      </c>
      <c r="BQ27" s="1451">
        <v>4190072</v>
      </c>
      <c r="BR27" s="1238" t="s">
        <v>1571</v>
      </c>
      <c r="BS27" s="1599"/>
      <c r="BV27" s="1240"/>
      <c r="BW27" s="1240"/>
    </row>
    <row customHeight="1" ht="11.25">
      <c r="A28" s="1244" t="s">
        <v>1572</v>
      </c>
      <c r="D28" s="1271"/>
      <c r="E28" s="1272"/>
      <c r="F28" s="1272"/>
      <c r="H28" s="1273" t="s">
        <v>1573</v>
      </c>
      <c r="AX28" s="1290" t="s">
        <v>1574</v>
      </c>
      <c r="AZ28" s="1237" t="s">
        <v>1575</v>
      </c>
      <c r="BB28" s="1290" t="s">
        <v>1576</v>
      </c>
      <c r="BC28" s="1290" t="s">
        <v>1577</v>
      </c>
      <c r="BE28" s="1290">
        <v>2026</v>
      </c>
      <c r="BH28" s="1240" t="s">
        <v>28</v>
      </c>
      <c r="BJ28" s="1238" t="s">
        <v>1462</v>
      </c>
      <c r="BL28" s="1238" t="s">
        <v>1462</v>
      </c>
      <c r="BN28" s="1240" t="s">
        <v>28</v>
      </c>
      <c r="BQ28" s="1451">
        <v>4190073</v>
      </c>
      <c r="BR28" s="1238" t="s">
        <v>1578</v>
      </c>
      <c r="BS28" s="1599"/>
      <c r="BV28" s="1240"/>
      <c r="BW28" s="1240"/>
    </row>
    <row customHeight="1" ht="11.25">
      <c r="A29" s="1244" t="s">
        <v>1579</v>
      </c>
      <c r="D29" s="1274" t="s">
        <v>1580</v>
      </c>
      <c r="E29" s="1275" t="str">
        <f>IF(TEMPLATE_GROUP="","",INDEX(StartDateList,MATCH(TEMPLATE_GROUP,CodeTemplateList,0),1))</f>
        <v>01.01.2025</v>
      </c>
      <c r="F29" s="1275" t="str">
        <f>IF(TEMPLATE_GROUP="","",INDEX(EndDateList,MATCH(TEMPLATE_GROUP,CodeTemplateList,0),1))</f>
        <v>31.12.2025</v>
      </c>
      <c r="H29" s="1276" t="s">
        <v>1581</v>
      </c>
      <c r="AX29" s="1290" t="s">
        <v>1582</v>
      </c>
      <c r="AZ29" s="1290" t="s">
        <v>1234</v>
      </c>
      <c r="BB29" s="1290" t="s">
        <v>1430</v>
      </c>
      <c r="BC29" s="1261"/>
      <c r="BE29" s="1290">
        <v>2027</v>
      </c>
      <c r="BJ29" s="1238" t="s">
        <v>1470</v>
      </c>
      <c r="BL29" s="1238" t="s">
        <v>1470</v>
      </c>
    </row>
    <row customHeight="1" ht="11.25">
      <c r="A30" s="1244" t="s">
        <v>1583</v>
      </c>
      <c r="D30" s="1277"/>
      <c r="E30" s="1278"/>
      <c r="F30" s="1278"/>
      <c r="AX30" s="1290" t="s">
        <v>1584</v>
      </c>
      <c r="AZ30" s="1290" t="s">
        <v>1260</v>
      </c>
      <c r="BE30" s="1290">
        <v>2028</v>
      </c>
      <c r="BJ30" s="1238" t="s">
        <v>1585</v>
      </c>
      <c r="BL30" s="1238" t="s">
        <v>1585</v>
      </c>
    </row>
    <row customHeight="1" ht="12.75">
      <c r="A31" s="1244" t="s">
        <v>1586</v>
      </c>
      <c r="D31" s="1271"/>
      <c r="E31" s="1272"/>
      <c r="F31" s="1272"/>
      <c r="H31" s="1279"/>
      <c r="AX31" s="1290" t="s">
        <v>1587</v>
      </c>
      <c r="AZ31" s="1290" t="s">
        <v>1588</v>
      </c>
      <c r="BE31" s="1290">
        <v>2029</v>
      </c>
      <c r="BJ31" s="1238" t="s">
        <v>1589</v>
      </c>
      <c r="BL31" s="1238" t="s">
        <v>1589</v>
      </c>
    </row>
    <row customHeight="1" ht="11.25">
      <c r="A32" s="1244" t="s">
        <v>1590</v>
      </c>
      <c r="D32" s="1274" t="s">
        <v>1591</v>
      </c>
      <c r="E32" s="1275" t="str">
        <f>IF(TEMPLATE_GROUP="","",INDEX(StartDateList,MATCH(TEMPLATE_GROUP,CodeTemplateList,0),1))</f>
        <v>01.01.2025</v>
      </c>
      <c r="F32" s="1275" t="str">
        <f>IF(TEMPLATE_GROUP="","",INDEX(EndDateList,MATCH(TEMPLATE_GROUP,CodeTemplateList,0),1))</f>
        <v>31.12.2025</v>
      </c>
      <c r="H32" s="1280" t="s">
        <v>1592</v>
      </c>
      <c r="O32" s="1244" t="s">
        <v>1233</v>
      </c>
      <c r="AX32" s="1290" t="s">
        <v>1593</v>
      </c>
      <c r="AZ32" s="1290" t="s">
        <v>1326</v>
      </c>
      <c r="BE32" s="1290">
        <v>2030</v>
      </c>
      <c r="BJ32" s="1238" t="s">
        <v>1479</v>
      </c>
      <c r="BL32" s="1238" t="s">
        <v>1479</v>
      </c>
    </row>
    <row customHeight="1" ht="11.25">
      <c r="A33" s="1244" t="s">
        <v>1594</v>
      </c>
      <c r="O33" s="1244" t="s">
        <v>1257</v>
      </c>
      <c r="AX33" s="1290" t="s">
        <v>1595</v>
      </c>
      <c r="AZ33" s="1290" t="s">
        <v>497</v>
      </c>
      <c r="BE33" s="1290">
        <v>2031</v>
      </c>
      <c r="BJ33" s="1238" t="s">
        <v>1486</v>
      </c>
      <c r="BL33" s="1238" t="s">
        <v>1486</v>
      </c>
    </row>
    <row customHeight="1" ht="11.25">
      <c r="A34" s="1244" t="s">
        <v>1596</v>
      </c>
      <c r="O34" s="1244" t="s">
        <v>1292</v>
      </c>
      <c r="AX34" s="1290" t="s">
        <v>1597</v>
      </c>
      <c r="BE34" s="1290">
        <v>2032</v>
      </c>
      <c r="BJ34" s="1238" t="s">
        <v>1497</v>
      </c>
      <c r="BL34" s="1238" t="s">
        <v>1497</v>
      </c>
    </row>
    <row customHeight="1" ht="11.25">
      <c r="A35" s="1244" t="s">
        <v>1598</v>
      </c>
      <c r="O35" s="1244" t="s">
        <v>1324</v>
      </c>
      <c r="AX35" s="1290" t="s">
        <v>1599</v>
      </c>
      <c r="AZ35" s="1237" t="s">
        <v>1600</v>
      </c>
      <c r="BE35" s="1290">
        <v>2033</v>
      </c>
      <c r="BL35" s="1238" t="s">
        <v>1601</v>
      </c>
    </row>
    <row customHeight="1" ht="11.25">
      <c r="A36" s="2040" t="s">
        <v>1602</v>
      </c>
      <c r="D36" s="1281" t="s">
        <v>1603</v>
      </c>
      <c r="E36" s="1282" t="s">
        <v>865</v>
      </c>
      <c r="F36" s="1283" t="str">
        <f>INDEX(E37:E41,MATCH(TEMPLATE_SPHERE,F37:F41,0))</f>
        <v>холодного водоснабжения</v>
      </c>
      <c r="G36" s="1283" t="str">
        <f>INDEX(G37:G41,MATCH(TEMPLATE_SPHERE,F37:F41,0))</f>
        <v>холодное водоснабжение</v>
      </c>
      <c r="O36" s="1244" t="s">
        <v>1348</v>
      </c>
      <c r="AX36" s="1290" t="s">
        <v>1604</v>
      </c>
      <c r="AZ36" s="1290" t="s">
        <v>497</v>
      </c>
      <c r="BE36" s="1290">
        <v>2034</v>
      </c>
      <c r="BL36" s="1238" t="s">
        <v>1605</v>
      </c>
    </row>
    <row customHeight="1" ht="11.25">
      <c r="A37" s="1244" t="s">
        <v>1606</v>
      </c>
      <c r="E37" s="577" t="s">
        <v>1607</v>
      </c>
      <c r="F37" s="1284" t="s">
        <v>819</v>
      </c>
      <c r="G37" s="577" t="s">
        <v>1608</v>
      </c>
      <c r="O37" s="1244" t="s">
        <v>1366</v>
      </c>
      <c r="AX37" s="1290" t="s">
        <v>1609</v>
      </c>
      <c r="AZ37" s="1290" t="s">
        <v>1259</v>
      </c>
      <c r="BE37" s="1290">
        <v>2035</v>
      </c>
    </row>
    <row customHeight="1" ht="11.25">
      <c r="A38" s="1244" t="s">
        <v>1610</v>
      </c>
      <c r="E38" s="577" t="s">
        <v>1611</v>
      </c>
      <c r="F38" s="1285" t="s">
        <v>865</v>
      </c>
      <c r="G38" s="577" t="s">
        <v>1612</v>
      </c>
      <c r="O38" s="1244" t="s">
        <v>1382</v>
      </c>
      <c r="AX38" s="1290" t="s">
        <v>1613</v>
      </c>
      <c r="AZ38" s="1290" t="s">
        <v>1293</v>
      </c>
      <c r="BE38" s="1290">
        <v>2036</v>
      </c>
      <c r="BH38" s="1237" t="s">
        <v>1614</v>
      </c>
      <c r="BJ38" s="1237" t="s">
        <v>1615</v>
      </c>
      <c r="BL38" s="1237" t="s">
        <v>1616</v>
      </c>
      <c r="BN38" s="1237" t="s">
        <v>1617</v>
      </c>
    </row>
    <row customHeight="1" ht="11.25">
      <c r="A39" s="1244" t="s">
        <v>1618</v>
      </c>
      <c r="E39" s="577" t="s">
        <v>1619</v>
      </c>
      <c r="F39" s="1285" t="s">
        <v>918</v>
      </c>
      <c r="G39" s="577" t="s">
        <v>1620</v>
      </c>
      <c r="O39" s="1244" t="s">
        <v>1398</v>
      </c>
      <c r="AX39" s="1290" t="s">
        <v>1621</v>
      </c>
      <c r="AZ39" s="1290" t="s">
        <v>1325</v>
      </c>
      <c r="BE39" s="1290">
        <v>2037</v>
      </c>
      <c r="BH39" s="1238" t="s">
        <v>1622</v>
      </c>
      <c r="BJ39" s="1387" t="s">
        <v>1622</v>
      </c>
      <c r="BL39" s="1387" t="s">
        <v>1622</v>
      </c>
      <c r="BN39" s="1238" t="s">
        <v>1623</v>
      </c>
    </row>
    <row customHeight="1" ht="11.25">
      <c r="A40" s="1244" t="s">
        <v>1624</v>
      </c>
      <c r="E40" s="577" t="s">
        <v>1625</v>
      </c>
      <c r="F40" s="1285" t="s">
        <v>905</v>
      </c>
      <c r="G40" s="577" t="s">
        <v>1626</v>
      </c>
      <c r="O40" s="1244" t="s">
        <v>1414</v>
      </c>
      <c r="AX40" s="1290" t="s">
        <v>1627</v>
      </c>
      <c r="BE40" s="1290">
        <v>2038</v>
      </c>
      <c r="BH40" s="1238" t="s">
        <v>1628</v>
      </c>
      <c r="BJ40" s="1387" t="s">
        <v>1038</v>
      </c>
      <c r="BL40" s="1387" t="s">
        <v>1038</v>
      </c>
      <c r="BN40" s="1238" t="s">
        <v>1072</v>
      </c>
    </row>
    <row customHeight="1" ht="11.25">
      <c r="A41" s="1244" t="s">
        <v>1629</v>
      </c>
      <c r="E41" s="577" t="s">
        <v>1630</v>
      </c>
      <c r="F41" s="1285" t="s">
        <v>1631</v>
      </c>
      <c r="G41" s="577" t="s">
        <v>1630</v>
      </c>
      <c r="O41" s="1244" t="s">
        <v>1430</v>
      </c>
      <c r="AX41" s="1290" t="s">
        <v>1632</v>
      </c>
      <c r="AZ41" s="1237" t="s">
        <v>1633</v>
      </c>
      <c r="BE41" s="1290">
        <v>2039</v>
      </c>
      <c r="BH41" s="1238" t="s">
        <v>1634</v>
      </c>
      <c r="BJ41" s="1387" t="s">
        <v>1034</v>
      </c>
      <c r="BL41" s="1387" t="s">
        <v>1034</v>
      </c>
      <c r="BN41" s="1238" t="s">
        <v>1059</v>
      </c>
    </row>
    <row customHeight="1" ht="11.25">
      <c r="A42" s="1244" t="s">
        <v>1635</v>
      </c>
      <c r="AX42" s="1290" t="s">
        <v>1636</v>
      </c>
      <c r="AZ42" s="1290" t="s">
        <v>1233</v>
      </c>
      <c r="BE42" s="1290">
        <v>2040</v>
      </c>
      <c r="BH42" s="1238" t="s">
        <v>1056</v>
      </c>
      <c r="BJ42" s="1387" t="s">
        <v>1036</v>
      </c>
      <c r="BL42" s="1387" t="s">
        <v>1036</v>
      </c>
      <c r="BN42" s="1238" t="s">
        <v>1637</v>
      </c>
    </row>
    <row customHeight="1" ht="11.25">
      <c r="A43" s="1244" t="s">
        <v>1638</v>
      </c>
      <c r="AX43" s="1290" t="s">
        <v>1639</v>
      </c>
      <c r="AZ43" s="1290" t="s">
        <v>1257</v>
      </c>
      <c r="BE43" s="1290">
        <v>2041</v>
      </c>
      <c r="BH43" s="1238" t="s">
        <v>1640</v>
      </c>
      <c r="BJ43" s="1387" t="s">
        <v>1634</v>
      </c>
      <c r="BL43" s="1387" t="s">
        <v>1634</v>
      </c>
      <c r="BN43" s="1238" t="s">
        <v>1641</v>
      </c>
    </row>
    <row customHeight="1" ht="11.25">
      <c r="A44" s="1244" t="s">
        <v>1642</v>
      </c>
      <c r="G44" s="1264">
        <f>YEAR(TODAY())</f>
        <v>2024</v>
      </c>
      <c r="I44" s="969" t="s">
        <v>1643</v>
      </c>
      <c r="J44" s="1259" t="s">
        <v>1644</v>
      </c>
      <c r="K44" s="1259" t="s">
        <v>1645</v>
      </c>
      <c r="AX44" s="1290" t="s">
        <v>1646</v>
      </c>
      <c r="AZ44" s="1290" t="s">
        <v>1292</v>
      </c>
      <c r="BE44" s="1290">
        <v>2042</v>
      </c>
      <c r="BH44" s="1238" t="s">
        <v>1647</v>
      </c>
      <c r="BJ44" s="1387" t="s">
        <v>1056</v>
      </c>
      <c r="BL44" s="1387" t="s">
        <v>1056</v>
      </c>
      <c r="BN44" s="1238" t="s">
        <v>1648</v>
      </c>
    </row>
    <row customHeight="1" ht="11.25">
      <c r="A45" s="1244" t="s">
        <v>1649</v>
      </c>
      <c r="D45" s="1281" t="s">
        <v>1650</v>
      </c>
      <c r="E45" s="1282" t="s">
        <v>1651</v>
      </c>
      <c r="F45" s="967" t="s">
        <v>1652</v>
      </c>
      <c r="G45" s="966" t="s">
        <v>1653</v>
      </c>
      <c r="H45" s="969" t="s">
        <v>1654</v>
      </c>
      <c r="I45" s="1911">
        <f>INDEX(PeriodIsEmptyList,MATCH(TEMPLATE_GROUP,CodeTemplateList,0),1)</f>
        <v>0</v>
      </c>
      <c r="J45" s="191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1655</v>
      </c>
      <c r="AZ45" s="1290" t="s">
        <v>1324</v>
      </c>
      <c r="BE45" s="1290">
        <v>2043</v>
      </c>
      <c r="BH45" s="1238" t="s">
        <v>1656</v>
      </c>
      <c r="BJ45" s="1387" t="s">
        <v>1050</v>
      </c>
      <c r="BL45" s="1387" t="s">
        <v>1050</v>
      </c>
      <c r="BN45" s="1238" t="s">
        <v>1657</v>
      </c>
    </row>
    <row customHeight="1" ht="11.25">
      <c r="A46" s="1244" t="s">
        <v>1658</v>
      </c>
      <c r="E46" s="577" t="s">
        <v>26</v>
      </c>
      <c r="F46" s="1284" t="s">
        <v>1659</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(холодного водоснабжения)</v>
      </c>
      <c r="K46" s="1916"/>
      <c r="AX46" s="1290" t="s">
        <v>1660</v>
      </c>
      <c r="AZ46" s="1290" t="s">
        <v>1348</v>
      </c>
      <c r="BE46" s="1290">
        <v>2044</v>
      </c>
      <c r="BH46" s="1238" t="s">
        <v>1059</v>
      </c>
      <c r="BJ46" s="1387" t="s">
        <v>1040</v>
      </c>
      <c r="BL46" s="1387" t="s">
        <v>1040</v>
      </c>
      <c r="BN46" s="1238" t="s">
        <v>1661</v>
      </c>
    </row>
    <row customHeight="1" ht="11.25">
      <c r="A47" s="1244" t="s">
        <v>1662</v>
      </c>
      <c r="E47" s="577" t="s">
        <v>33</v>
      </c>
      <c r="F47" s="1285" t="s">
        <v>1663</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916"/>
      <c r="AX47" s="1290" t="s">
        <v>1664</v>
      </c>
      <c r="AZ47" s="1290" t="s">
        <v>1366</v>
      </c>
      <c r="BE47" s="1290">
        <v>2045</v>
      </c>
      <c r="BH47" s="1238" t="s">
        <v>1637</v>
      </c>
      <c r="BJ47" s="1387" t="s">
        <v>1042</v>
      </c>
      <c r="BL47" s="1387" t="s">
        <v>1042</v>
      </c>
      <c r="BN47" s="1238" t="s">
        <v>1665</v>
      </c>
    </row>
    <row customHeight="1" ht="11.25">
      <c r="A48" s="1244" t="s">
        <v>1666</v>
      </c>
      <c r="E48" s="577" t="s">
        <v>1667</v>
      </c>
      <c r="F48" s="1285" t="s">
        <v>1668</v>
      </c>
      <c r="G48" s="1286" t="str">
        <f>_xlfn.IFERROR(IF(f_year="","01.01."&amp;CURRENT_YEAR,"01.01."&amp;f_year),"01.01."&amp;CURRENT_YEAR)</f>
        <v>01.01.2024</v>
      </c>
      <c r="H48" s="1286" t="str">
        <f>_xlfn.IFERROR(IF(f_year="","31.12."&amp;CURRENT_YEAR,"31.12."&amp;f_year),"31.12."&amp;CURRENT_YEAR)</f>
        <v>31.12.2024</v>
      </c>
      <c r="I48" s="1912">
        <f>IF(f_year="",TRUE,FALSE)</f>
        <v>1</v>
      </c>
      <c r="J48" s="1915" t="s">
        <v>1669</v>
      </c>
      <c r="K48" s="1916"/>
      <c r="AX48" s="1290" t="s">
        <v>1670</v>
      </c>
      <c r="AZ48" s="1290" t="s">
        <v>1382</v>
      </c>
      <c r="BE48" s="1290">
        <v>2046</v>
      </c>
      <c r="BH48" s="1238" t="s">
        <v>1641</v>
      </c>
      <c r="BJ48" s="1387" t="s">
        <v>1044</v>
      </c>
      <c r="BL48" s="1387" t="s">
        <v>1044</v>
      </c>
      <c r="BN48" s="1238" t="s">
        <v>1671</v>
      </c>
    </row>
    <row customHeight="1" ht="11.25">
      <c r="A49" s="1244" t="s">
        <v>1672</v>
      </c>
      <c r="E49" s="577" t="s">
        <v>1673</v>
      </c>
      <c r="F49" s="1285" t="s">
        <v>1674</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916"/>
      <c r="AX49" s="1290" t="s">
        <v>1675</v>
      </c>
      <c r="AZ49" s="1290" t="s">
        <v>1398</v>
      </c>
      <c r="BE49" s="1290">
        <v>2047</v>
      </c>
      <c r="BH49" s="1238" t="s">
        <v>1060</v>
      </c>
      <c r="BJ49" s="1387" t="s">
        <v>1046</v>
      </c>
      <c r="BL49" s="1387" t="s">
        <v>1046</v>
      </c>
    </row>
    <row customHeight="1" ht="11.25">
      <c r="A50" s="1244" t="s">
        <v>1676</v>
      </c>
      <c r="E50" s="577" t="s">
        <v>1677</v>
      </c>
      <c r="F50" s="1285" t="s">
        <v>1030</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916"/>
      <c r="AX50" s="1290" t="s">
        <v>1678</v>
      </c>
      <c r="AZ50" s="1290" t="s">
        <v>1414</v>
      </c>
      <c r="BE50" s="1290">
        <v>2048</v>
      </c>
      <c r="BH50" s="1238" t="s">
        <v>1648</v>
      </c>
      <c r="BJ50" s="1387" t="s">
        <v>1048</v>
      </c>
      <c r="BL50" s="1387" t="s">
        <v>1048</v>
      </c>
    </row>
    <row customHeight="1" ht="11.25">
      <c r="A51" s="1244" t="s">
        <v>1679</v>
      </c>
      <c r="E51" s="577" t="s">
        <v>1680</v>
      </c>
      <c r="F51" s="1285" t="s">
        <v>1651</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1681</v>
      </c>
      <c r="AZ51" s="1290" t="s">
        <v>1430</v>
      </c>
      <c r="BE51" s="1290">
        <v>2049</v>
      </c>
      <c r="BH51" s="1238" t="s">
        <v>1657</v>
      </c>
      <c r="BJ51" s="1387" t="s">
        <v>1682</v>
      </c>
      <c r="BL51" s="1387" t="s">
        <v>1682</v>
      </c>
    </row>
    <row customHeight="1" ht="11.25">
      <c r="A52" s="1244" t="s">
        <v>1683</v>
      </c>
      <c r="E52" s="577" t="s">
        <v>1684</v>
      </c>
      <c r="F52" s="1285" t="s">
        <v>1685</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916"/>
      <c r="AX52" s="1290" t="s">
        <v>1686</v>
      </c>
      <c r="AZ52" s="1290" t="s">
        <v>497</v>
      </c>
      <c r="BE52" s="1290">
        <v>2050</v>
      </c>
      <c r="BH52" s="1238" t="s">
        <v>1661</v>
      </c>
      <c r="BJ52" s="1387" t="s">
        <v>1059</v>
      </c>
      <c r="BL52" s="1387" t="s">
        <v>1059</v>
      </c>
    </row>
    <row customHeight="1" ht="11.25">
      <c r="A53" s="1244" t="s">
        <v>1687</v>
      </c>
      <c r="E53" s="577" t="s">
        <v>1688</v>
      </c>
      <c r="F53" s="1285" t="s">
        <v>1688</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1689</v>
      </c>
      <c r="K53" s="1916"/>
      <c r="AX53" s="1290" t="s">
        <v>1690</v>
      </c>
      <c r="BE53" s="1290">
        <v>2051</v>
      </c>
      <c r="BH53" s="1238" t="s">
        <v>1665</v>
      </c>
      <c r="BJ53" s="1387" t="s">
        <v>1637</v>
      </c>
      <c r="BL53" s="1387" t="s">
        <v>1637</v>
      </c>
    </row>
    <row customHeight="1" ht="11.25">
      <c r="A54" s="1244" t="s">
        <v>1691</v>
      </c>
      <c r="AX54" s="1290" t="s">
        <v>1692</v>
      </c>
      <c r="AZ54" s="1237" t="s">
        <v>1693</v>
      </c>
      <c r="BE54" s="1290">
        <v>2052</v>
      </c>
      <c r="BH54" s="1238" t="s">
        <v>1671</v>
      </c>
      <c r="BJ54" s="1387" t="s">
        <v>1641</v>
      </c>
      <c r="BL54" s="1387" t="s">
        <v>1641</v>
      </c>
    </row>
    <row customHeight="1" ht="11.25">
      <c r="A55" s="1244" t="s">
        <v>1694</v>
      </c>
      <c r="AX55" s="1290" t="s">
        <v>1695</v>
      </c>
      <c r="AZ55" s="1290" t="s">
        <v>1235</v>
      </c>
      <c r="BE55" s="1290">
        <v>2053</v>
      </c>
      <c r="BH55" s="1240" t="s">
        <v>28</v>
      </c>
      <c r="BJ55" s="1387" t="s">
        <v>1060</v>
      </c>
      <c r="BL55" s="1387" t="s">
        <v>1060</v>
      </c>
    </row>
    <row customHeight="1" ht="11.25">
      <c r="A56" s="1244" t="s">
        <v>1696</v>
      </c>
      <c r="D56" s="1288" t="s">
        <v>1697</v>
      </c>
      <c r="E56" s="1265" t="s">
        <v>110</v>
      </c>
      <c r="F56" s="1244" t="s">
        <v>1698</v>
      </c>
      <c r="AX56" s="1290" t="s">
        <v>1699</v>
      </c>
      <c r="AZ56" s="1290" t="s">
        <v>1261</v>
      </c>
      <c r="BE56" s="1290">
        <v>2054</v>
      </c>
      <c r="BH56" s="1240" t="s">
        <v>28</v>
      </c>
      <c r="BJ56" s="1387" t="s">
        <v>1648</v>
      </c>
      <c r="BL56" s="1387" t="s">
        <v>1648</v>
      </c>
    </row>
    <row customHeight="1" ht="11.25">
      <c r="A57" s="1244" t="s">
        <v>1700</v>
      </c>
      <c r="D57" s="1288" t="s">
        <v>1701</v>
      </c>
      <c r="E57" s="1265" t="s">
        <v>110</v>
      </c>
      <c r="F57" s="1244" t="s">
        <v>1698</v>
      </c>
      <c r="AX57" s="1290" t="s">
        <v>1702</v>
      </c>
      <c r="AZ57" s="1290" t="s">
        <v>1295</v>
      </c>
      <c r="BE57" s="1290">
        <v>2055</v>
      </c>
      <c r="BJ57" s="1387" t="s">
        <v>1657</v>
      </c>
      <c r="BL57" s="1387" t="s">
        <v>1657</v>
      </c>
    </row>
    <row customHeight="1" ht="11.25">
      <c r="A58" s="1244" t="s">
        <v>1703</v>
      </c>
      <c r="D58" s="1288" t="s">
        <v>1704</v>
      </c>
      <c r="E58" s="1265" t="s">
        <v>110</v>
      </c>
      <c r="F58" s="1244" t="s">
        <v>1698</v>
      </c>
      <c r="AX58" s="1290" t="s">
        <v>1705</v>
      </c>
      <c r="BE58" s="1290">
        <v>2056</v>
      </c>
      <c r="BJ58" s="1387" t="s">
        <v>1661</v>
      </c>
      <c r="BL58" s="1387" t="s">
        <v>1661</v>
      </c>
    </row>
    <row customHeight="1" ht="11.25">
      <c r="A59" s="1244" t="s">
        <v>1706</v>
      </c>
      <c r="D59" s="1288" t="s">
        <v>130</v>
      </c>
      <c r="E59" s="1265" t="s">
        <v>1593</v>
      </c>
      <c r="F59" s="1244" t="s">
        <v>1707</v>
      </c>
      <c r="AX59" s="1290" t="s">
        <v>1708</v>
      </c>
      <c r="AZ59" s="1237" t="s">
        <v>1709</v>
      </c>
      <c r="BE59" s="1290">
        <v>2057</v>
      </c>
      <c r="BJ59" s="1387" t="s">
        <v>1665</v>
      </c>
      <c r="BL59" s="1387" t="s">
        <v>1665</v>
      </c>
    </row>
    <row customHeight="1" ht="11.25">
      <c r="A60" s="1244" t="s">
        <v>1710</v>
      </c>
      <c r="D60" s="1288" t="s">
        <v>1711</v>
      </c>
      <c r="E60" s="1265" t="s">
        <v>1593</v>
      </c>
      <c r="F60" s="1244" t="s">
        <v>1707</v>
      </c>
      <c r="AX60" s="1290" t="s">
        <v>1712</v>
      </c>
      <c r="AZ60" s="1290" t="s">
        <v>1236</v>
      </c>
      <c r="BE60" s="1290">
        <v>2058</v>
      </c>
      <c r="BJ60" s="1387" t="s">
        <v>1671</v>
      </c>
      <c r="BL60" s="1387" t="s">
        <v>1671</v>
      </c>
    </row>
    <row customHeight="1" ht="11.25">
      <c r="A61" s="1244" t="s">
        <v>16</v>
      </c>
      <c r="D61" s="1288" t="s">
        <v>1713</v>
      </c>
      <c r="E61" s="1265" t="s">
        <v>1593</v>
      </c>
      <c r="F61" s="1244" t="s">
        <v>1707</v>
      </c>
      <c r="AX61" s="1290" t="s">
        <v>1714</v>
      </c>
      <c r="AZ61" s="1290" t="s">
        <v>1262</v>
      </c>
      <c r="BE61" s="1290">
        <v>2059</v>
      </c>
      <c r="BL61" s="1387" t="s">
        <v>1052</v>
      </c>
    </row>
    <row customHeight="1" ht="11.25">
      <c r="A62" s="1244" t="s">
        <v>1715</v>
      </c>
      <c r="D62" s="1288" t="s">
        <v>129</v>
      </c>
      <c r="E62" s="1265">
        <v>30</v>
      </c>
      <c r="F62" s="1244" t="s">
        <v>1707</v>
      </c>
      <c r="AZ62" s="1290" t="s">
        <v>1296</v>
      </c>
      <c r="BE62" s="1290">
        <v>2060</v>
      </c>
      <c r="BL62" s="1387" t="s">
        <v>1054</v>
      </c>
    </row>
    <row customHeight="1" ht="11.25">
      <c r="A63" s="1244" t="s">
        <v>1716</v>
      </c>
      <c r="D63" s="1288" t="s">
        <v>1717</v>
      </c>
      <c r="E63" s="1265">
        <v>30</v>
      </c>
      <c r="F63" s="1244" t="s">
        <v>1707</v>
      </c>
      <c r="AZ63" s="1290" t="s">
        <v>1327</v>
      </c>
      <c r="BE63" s="1290">
        <v>2061</v>
      </c>
    </row>
    <row customHeight="1" ht="11.25">
      <c r="A64" s="1244" t="s">
        <v>1718</v>
      </c>
      <c r="D64" s="1288" t="s">
        <v>1719</v>
      </c>
      <c r="E64" s="1265">
        <v>30</v>
      </c>
      <c r="F64" s="1244" t="s">
        <v>1707</v>
      </c>
      <c r="AZ64" s="1290" t="s">
        <v>1349</v>
      </c>
      <c r="BE64" s="1290">
        <v>2062</v>
      </c>
    </row>
    <row customHeight="1" ht="11.25">
      <c r="A65" s="1244" t="s">
        <v>1720</v>
      </c>
      <c r="D65" s="1244"/>
      <c r="BE65" s="1290">
        <v>2063</v>
      </c>
    </row>
    <row customHeight="1" ht="11.25">
      <c r="A66" s="1244" t="s">
        <v>1721</v>
      </c>
      <c r="AZ66" s="1237" t="s">
        <v>1722</v>
      </c>
      <c r="BE66" s="1290">
        <v>2064</v>
      </c>
    </row>
    <row customHeight="1" ht="11.25">
      <c r="A67" s="1244" t="s">
        <v>1723</v>
      </c>
      <c r="AZ67" s="1290" t="s">
        <v>1237</v>
      </c>
      <c r="BE67" s="1290">
        <v>2065</v>
      </c>
    </row>
    <row customHeight="1" ht="11.25">
      <c r="A68" s="1244" t="s">
        <v>1724</v>
      </c>
      <c r="AZ68" s="1290" t="s">
        <v>1263</v>
      </c>
      <c r="BE68" s="1290">
        <v>2066</v>
      </c>
      <c r="BH68" s="1237" t="s">
        <v>1725</v>
      </c>
      <c r="BJ68" s="1237" t="s">
        <v>1726</v>
      </c>
      <c r="BL68" s="1237" t="s">
        <v>1727</v>
      </c>
      <c r="BN68" s="1237" t="s">
        <v>1728</v>
      </c>
    </row>
    <row customHeight="1" ht="11.25">
      <c r="A69" s="1244" t="s">
        <v>1729</v>
      </c>
      <c r="AZ69" s="1290" t="s">
        <v>1297</v>
      </c>
      <c r="BE69" s="1290">
        <v>2067</v>
      </c>
      <c r="BH69" s="1238" t="s">
        <v>1730</v>
      </c>
      <c r="BI69" s="1287" t="s">
        <v>108</v>
      </c>
      <c r="BJ69" s="1238" t="s">
        <v>1731</v>
      </c>
      <c r="BK69" s="1287" t="s">
        <v>108</v>
      </c>
      <c r="BL69" s="1238" t="s">
        <v>1732</v>
      </c>
      <c r="BM69" s="1240" t="s">
        <v>108</v>
      </c>
      <c r="BN69" s="1238" t="s">
        <v>1733</v>
      </c>
    </row>
    <row customHeight="1" ht="11.25">
      <c r="A70" s="1244" t="s">
        <v>1734</v>
      </c>
      <c r="AZ70" s="1290" t="s">
        <v>1328</v>
      </c>
      <c r="BE70" s="1290">
        <v>2068</v>
      </c>
      <c r="BH70" s="1238" t="s">
        <v>1735</v>
      </c>
      <c r="BJ70" s="1238" t="s">
        <v>1736</v>
      </c>
      <c r="BL70" s="1238" t="s">
        <v>1737</v>
      </c>
      <c r="BN70" s="1238" t="s">
        <v>1738</v>
      </c>
    </row>
    <row customHeight="1" ht="11.25">
      <c r="A71" s="1244" t="s">
        <v>1739</v>
      </c>
      <c r="AZ71" s="1290" t="s">
        <v>1330</v>
      </c>
      <c r="BE71" s="1290">
        <v>2069</v>
      </c>
      <c r="BH71" s="1238" t="s">
        <v>1740</v>
      </c>
      <c r="BI71" s="1287" t="s">
        <v>89</v>
      </c>
      <c r="BJ71" s="1238" t="s">
        <v>1741</v>
      </c>
      <c r="BK71" s="1287" t="s">
        <v>89</v>
      </c>
      <c r="BL71" s="1238" t="s">
        <v>1742</v>
      </c>
      <c r="BM71" s="1240" t="s">
        <v>89</v>
      </c>
      <c r="BN71" s="1238" t="s">
        <v>1743</v>
      </c>
    </row>
    <row customHeight="1" ht="11.25">
      <c r="A72" s="1244" t="s">
        <v>1744</v>
      </c>
      <c r="AZ72" s="1290" t="s">
        <v>19</v>
      </c>
      <c r="BE72" s="1290">
        <v>2070</v>
      </c>
      <c r="BH72" s="1238" t="s">
        <v>1745</v>
      </c>
      <c r="BJ72" s="1238" t="s">
        <v>1745</v>
      </c>
      <c r="BL72" s="1238" t="s">
        <v>1745</v>
      </c>
      <c r="BN72" s="1238" t="s">
        <v>1746</v>
      </c>
    </row>
    <row customHeight="1" ht="11.25">
      <c r="A73" s="1244" t="s">
        <v>1747</v>
      </c>
      <c r="BH73" s="1238" t="s">
        <v>1748</v>
      </c>
      <c r="BI73" s="1287" t="s">
        <v>110</v>
      </c>
      <c r="BJ73" s="1238" t="s">
        <v>1749</v>
      </c>
      <c r="BK73" s="1287" t="s">
        <v>110</v>
      </c>
      <c r="BL73" s="1238" t="s">
        <v>1750</v>
      </c>
      <c r="BM73" s="1240" t="s">
        <v>110</v>
      </c>
      <c r="BN73" s="1238" t="s">
        <v>1751</v>
      </c>
    </row>
    <row customHeight="1" ht="11.25">
      <c r="A74" s="1244" t="s">
        <v>1752</v>
      </c>
      <c r="BH74" s="1238" t="s">
        <v>1753</v>
      </c>
      <c r="BJ74" s="1238" t="s">
        <v>1754</v>
      </c>
      <c r="BL74" s="1238" t="s">
        <v>1755</v>
      </c>
      <c r="BN74" s="1238" t="s">
        <v>1756</v>
      </c>
    </row>
    <row customHeight="1" ht="11.25">
      <c r="A75" s="1244" t="s">
        <v>1757</v>
      </c>
      <c r="AZ75" s="1237" t="s">
        <v>1758</v>
      </c>
      <c r="BH75" s="1238" t="s">
        <v>1759</v>
      </c>
      <c r="BJ75" s="1238" t="s">
        <v>1759</v>
      </c>
      <c r="BL75" s="1238" t="s">
        <v>1759</v>
      </c>
    </row>
    <row customHeight="1" ht="11.25">
      <c r="A76" s="1244" t="s">
        <v>1760</v>
      </c>
      <c r="AZ76" s="1290" t="s">
        <v>518</v>
      </c>
      <c r="BH76" s="1238" t="s">
        <v>1761</v>
      </c>
      <c r="BJ76" s="1238" t="s">
        <v>1762</v>
      </c>
      <c r="BL76" s="1238" t="s">
        <v>1763</v>
      </c>
    </row>
    <row customHeight="1" ht="11.25">
      <c r="A77" s="1244" t="s">
        <v>1764</v>
      </c>
      <c r="AZ77" s="1290" t="s">
        <v>520</v>
      </c>
    </row>
    <row customHeight="1" ht="11.25">
      <c r="A78" s="1244" t="s">
        <v>1765</v>
      </c>
      <c r="AZ78" s="1290" t="s">
        <v>521</v>
      </c>
    </row>
    <row customHeight="1" ht="11.25">
      <c r="A79" s="1244" t="s">
        <v>1766</v>
      </c>
      <c r="AZ79" s="1290" t="s">
        <v>522</v>
      </c>
      <c r="BH79" s="1237" t="s">
        <v>1767</v>
      </c>
      <c r="BJ79" s="1237" t="s">
        <v>1768</v>
      </c>
      <c r="BL79" s="1237" t="s">
        <v>1769</v>
      </c>
    </row>
    <row customHeight="1" ht="11.25">
      <c r="A80" s="1244" t="s">
        <v>1770</v>
      </c>
      <c r="AZ80" s="1290" t="s">
        <v>523</v>
      </c>
      <c r="BH80" s="1238" t="s">
        <v>1771</v>
      </c>
      <c r="BJ80" s="1238" t="s">
        <v>1772</v>
      </c>
      <c r="BL80" s="1238" t="s">
        <v>1773</v>
      </c>
    </row>
    <row customHeight="1" ht="11.25">
      <c r="A81" s="1244" t="s">
        <v>1774</v>
      </c>
      <c r="AZ81" s="1290" t="s">
        <v>524</v>
      </c>
      <c r="BH81" s="1238" t="s">
        <v>1775</v>
      </c>
      <c r="BJ81" s="1238" t="s">
        <v>1776</v>
      </c>
      <c r="BL81" s="1238" t="s">
        <v>1777</v>
      </c>
    </row>
    <row customHeight="1" ht="11.25">
      <c r="A82" s="1244" t="s">
        <v>1778</v>
      </c>
      <c r="AZ82" s="1290" t="s">
        <v>1384</v>
      </c>
      <c r="BH82" s="1238" t="s">
        <v>1779</v>
      </c>
      <c r="BJ82" s="1238" t="s">
        <v>1780</v>
      </c>
      <c r="BL82" s="1238" t="s">
        <v>1781</v>
      </c>
    </row>
    <row customHeight="1" ht="11.25">
      <c r="A83" s="1244" t="s">
        <v>1782</v>
      </c>
      <c r="BH83" s="1238" t="s">
        <v>1783</v>
      </c>
      <c r="BJ83" s="1238" t="s">
        <v>1784</v>
      </c>
      <c r="BL83" s="1238" t="s">
        <v>1785</v>
      </c>
    </row>
    <row customHeight="1" ht="11.25">
      <c r="A84" s="1244" t="s">
        <v>1786</v>
      </c>
      <c r="AZ84" s="1237" t="s">
        <v>1787</v>
      </c>
    </row>
    <row customHeight="1" ht="11.25">
      <c r="A85" s="2040" t="s">
        <v>1788</v>
      </c>
      <c r="AZ85" s="1290" t="s">
        <v>1789</v>
      </c>
    </row>
    <row customHeight="1" ht="11.25">
      <c r="A86" s="1244" t="s">
        <v>1790</v>
      </c>
      <c r="AZ86" s="1290" t="s">
        <v>1791</v>
      </c>
      <c r="BH86" s="1237" t="s">
        <v>1792</v>
      </c>
      <c r="BJ86" s="1237" t="s">
        <v>1793</v>
      </c>
      <c r="BL86" s="1237" t="s">
        <v>1794</v>
      </c>
    </row>
    <row customHeight="1" ht="11.25">
      <c r="A87" s="1244" t="s">
        <v>1795</v>
      </c>
      <c r="AZ87" s="1290" t="s">
        <v>1796</v>
      </c>
      <c r="BH87" s="1238" t="s">
        <v>1797</v>
      </c>
      <c r="BJ87" s="1238" t="s">
        <v>1798</v>
      </c>
      <c r="BL87" s="1238" t="s">
        <v>1799</v>
      </c>
    </row>
    <row customHeight="1" ht="11.25">
      <c r="A88" s="1244" t="s">
        <v>1800</v>
      </c>
      <c r="AZ88" s="1776"/>
      <c r="BH88" s="1238" t="s">
        <v>1801</v>
      </c>
      <c r="BJ88" s="1238" t="s">
        <v>1802</v>
      </c>
      <c r="BL88" s="1238" t="s">
        <v>1803</v>
      </c>
    </row>
    <row customHeight="1" ht="11.25">
      <c r="A89" s="1244" t="s">
        <v>1804</v>
      </c>
      <c r="AZ89" s="1237" t="s">
        <v>1805</v>
      </c>
    </row>
    <row customHeight="1" ht="11.25">
      <c r="A90" s="1244" t="s">
        <v>1806</v>
      </c>
      <c r="AZ90" s="1290" t="s">
        <v>1030</v>
      </c>
    </row>
    <row customHeight="1" ht="11.25">
      <c r="A91" s="1244" t="s">
        <v>1807</v>
      </c>
      <c r="AZ91" s="1290" t="s">
        <v>1066</v>
      </c>
      <c r="BH91" s="1237" t="s">
        <v>1808</v>
      </c>
      <c r="BJ91" s="1237" t="s">
        <v>1809</v>
      </c>
      <c r="BL91" s="1237" t="s">
        <v>1810</v>
      </c>
    </row>
    <row customHeight="1" ht="11.25">
      <c r="AZ92" s="1290" t="s">
        <v>1811</v>
      </c>
      <c r="BH92" s="1238" t="s">
        <v>1812</v>
      </c>
      <c r="BJ92" s="1238" t="s">
        <v>1813</v>
      </c>
      <c r="BL92" s="1238" t="s">
        <v>1814</v>
      </c>
    </row>
    <row customHeight="1" ht="11.25">
      <c r="AZ93" s="1290" t="s">
        <v>1815</v>
      </c>
      <c r="BH93" s="1238" t="s">
        <v>1816</v>
      </c>
      <c r="BJ93" s="1238" t="s">
        <v>1817</v>
      </c>
      <c r="BL93" s="1238" t="s">
        <v>1818</v>
      </c>
    </row>
    <row customHeight="1" ht="11.25">
      <c r="AZ94" s="1290" t="s">
        <v>1819</v>
      </c>
    </row>
    <row r="96" customHeight="1" ht="11.25">
      <c r="AZ96" s="1237" t="s">
        <v>1820</v>
      </c>
      <c r="BH96" s="1237" t="s">
        <v>1821</v>
      </c>
      <c r="BJ96" s="1237" t="s">
        <v>1822</v>
      </c>
      <c r="BL96" s="1237" t="s">
        <v>1823</v>
      </c>
      <c r="BN96" s="1237" t="s">
        <v>1824</v>
      </c>
    </row>
    <row customHeight="1" ht="11.25">
      <c r="AZ97" s="2071" t="s">
        <v>1825</v>
      </c>
      <c r="BA97" s="2072" t="s">
        <v>1826</v>
      </c>
      <c r="BH97" s="1238" t="s">
        <v>1827</v>
      </c>
      <c r="BJ97" s="1238" t="s">
        <v>1828</v>
      </c>
      <c r="BL97" s="1238" t="s">
        <v>1829</v>
      </c>
      <c r="BN97" s="1238" t="s">
        <v>1830</v>
      </c>
    </row>
    <row customHeight="1" ht="11.25">
      <c r="AZ98" s="2071" t="s">
        <v>1831</v>
      </c>
      <c r="BA98" s="2072" t="s">
        <v>1832</v>
      </c>
      <c r="BH98" s="1238" t="s">
        <v>1833</v>
      </c>
      <c r="BJ98" s="1238" t="s">
        <v>1834</v>
      </c>
      <c r="BL98" s="1238" t="s">
        <v>1835</v>
      </c>
      <c r="BN98" s="1238" t="s">
        <v>1836</v>
      </c>
    </row>
    <row customHeight="1" ht="22.5">
      <c r="AZ99" s="2071" t="s">
        <v>1837</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1838</v>
      </c>
      <c r="BJ99" s="1238" t="s">
        <v>1839</v>
      </c>
      <c r="BL99" s="1238" t="s">
        <v>1840</v>
      </c>
      <c r="BN99" s="1238" t="s">
        <v>1841</v>
      </c>
    </row>
    <row customHeight="1" ht="22.5">
      <c r="AZ100" s="2071" t="s">
        <v>1842</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1430</v>
      </c>
      <c r="BL100" s="1238" t="s">
        <v>1430</v>
      </c>
      <c r="BN100" s="1238" t="s">
        <v>1843</v>
      </c>
    </row>
    <row customHeight="1" ht="22.5">
      <c r="AZ101" s="2071" t="s">
        <v>1844</v>
      </c>
      <c r="BA101" s="2072" t="s">
        <v>1845</v>
      </c>
      <c r="BN101" s="1238" t="s">
        <v>1846</v>
      </c>
    </row>
    <row customHeight="1" ht="22.5">
      <c r="AZ102" s="2071" t="s">
        <v>1847</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1848</v>
      </c>
    </row>
    <row customHeight="1" ht="11.25">
      <c r="AZ103" s="2071" t="s">
        <v>1849</v>
      </c>
      <c r="BA103" s="2072" t="s">
        <v>1850</v>
      </c>
      <c r="BN103" s="1238" t="s">
        <v>1851</v>
      </c>
    </row>
    <row customHeight="1" ht="11.25">
      <c r="BN104" s="1238" t="s">
        <v>1852</v>
      </c>
    </row>
    <row customHeight="1" ht="11.25">
      <c r="AZ105" s="1862" t="s">
        <v>1853</v>
      </c>
    </row>
    <row customHeight="1" ht="11.25">
      <c r="AZ106" s="1290" t="s">
        <v>1854</v>
      </c>
    </row>
    <row customHeight="1" ht="11.25">
      <c r="AZ107" s="1290" t="s">
        <v>1855</v>
      </c>
      <c r="BH107" s="1237" t="s">
        <v>1856</v>
      </c>
      <c r="BJ107" s="1237" t="s">
        <v>1857</v>
      </c>
      <c r="BL107" s="1237" t="s">
        <v>1858</v>
      </c>
      <c r="BN107" s="1237" t="s">
        <v>1859</v>
      </c>
    </row>
    <row customHeight="1" ht="11.25">
      <c r="AZ108" s="1290" t="s">
        <v>583</v>
      </c>
      <c r="BH108" s="1238" t="s">
        <v>1860</v>
      </c>
      <c r="BJ108" s="1238" t="s">
        <v>1861</v>
      </c>
      <c r="BL108" s="1238" t="s">
        <v>1515</v>
      </c>
      <c r="BN108" s="1238" t="s">
        <v>1862</v>
      </c>
    </row>
    <row customHeight="1" ht="11.25">
      <c r="BH109" s="1238" t="s">
        <v>1863</v>
      </c>
    </row>
    <row customHeight="1" ht="11.25">
      <c r="AZ110" s="1862" t="s">
        <v>1864</v>
      </c>
      <c r="BH110" s="1238" t="s">
        <v>1863</v>
      </c>
    </row>
    <row customHeight="1" ht="11.25">
      <c r="AZ111" s="2071" t="s">
        <v>1825</v>
      </c>
      <c r="BA111" s="2072" t="s">
        <v>1826</v>
      </c>
    </row>
    <row customHeight="1" ht="11.25">
      <c r="AZ112" s="2071" t="s">
        <v>1831</v>
      </c>
      <c r="BA112" s="2072" t="s">
        <v>1832</v>
      </c>
    </row>
    <row customHeight="1" ht="22.5">
      <c r="AZ113" s="2071" t="s">
        <v>1837</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1842</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1865</v>
      </c>
    </row>
    <row customHeight="1" ht="22.5">
      <c r="AZ115" s="2071" t="s">
        <v>1847</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497</v>
      </c>
    </row>
    <row customHeight="1" ht="11.25">
      <c r="AZ116" s="2071" t="s">
        <v>1849</v>
      </c>
      <c r="BA116" s="2072" t="s">
        <v>1850</v>
      </c>
      <c r="BH116" s="1238" t="s">
        <v>1259</v>
      </c>
    </row>
    <row customHeight="1" ht="11.25">
      <c r="BH117" s="1238" t="s">
        <v>1293</v>
      </c>
    </row>
    <row customHeight="1" ht="11.25">
      <c r="BH118" s="1238"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2271C-F66F-5716-8AD4-927ADD249EC5}" mc:Ignorable="x14ac xr xr2 xr3">
  <dimension ref="A1:J25"/>
  <sheetViews>
    <sheetView topLeftCell="A1" showGridLines="0" zoomScale="90" workbookViewId="0">
      <selection activeCell="A1" sqref="A1"/>
    </sheetView>
  </sheetViews>
  <sheetFormatPr defaultColWidth="9.140625" customHeight="1" defaultRowHeight="11.25"/>
  <cols>
    <col min="1" max="2" style="10198" width="15.00390625" hidden="1" customWidth="1"/>
    <col min="3" max="3" style="10242" width="3.00390625" customWidth="1"/>
    <col min="4" max="4" style="10243" width="6.00390625" customWidth="1"/>
    <col min="5" max="5" style="10242" width="52.00390625" customWidth="1"/>
    <col min="6" max="6" style="10242" width="48.00390625" customWidth="1"/>
    <col min="7" max="7" style="10242" width="93.00390625" customWidth="1"/>
    <col min="8" max="8" style="10242" width="8.00390625" customWidth="1"/>
    <col min="9" max="9" style="10242" width="64.00390625" customWidth="1"/>
    <col min="10" max="10" style="10242" width="9.140625" hidden="1"/>
  </cols>
  <sheetData>
    <row customHeight="1" ht="11.25" hidden="1">
      <c r="A1" s="671" t="s">
        <v>302</v>
      </c>
      <c r="J1" s="625" t="s">
        <v>14</v>
      </c>
    </row>
    <row customHeight="1" ht="22.5" hidden="1">
      <c r="A2" s="672"/>
      <c r="B2" s="672"/>
      <c r="C2" s="1900" t="s">
        <v>489</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Республика Марий Эл</v>
      </c>
      <c r="E6" s="2346"/>
      <c r="F6" s="2346"/>
      <c r="I6" s="885"/>
      <c r="J6" s="625">
        <v>17</v>
      </c>
    </row>
    <row s="10157"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303</v>
      </c>
      <c r="E9" s="2375"/>
      <c r="F9" s="2375"/>
      <c r="G9" s="2378" t="s">
        <v>304</v>
      </c>
      <c r="J9" s="625">
        <v>11</v>
      </c>
    </row>
    <row customHeight="1" ht="11.549999999999999">
      <c r="A10" s="672"/>
      <c r="B10" s="672"/>
      <c r="C10" s="627"/>
      <c r="D10" s="1644" t="s">
        <v>87</v>
      </c>
      <c r="E10" s="1646" t="s">
        <v>305</v>
      </c>
      <c r="F10" s="1646" t="s">
        <v>306</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МУП "Водоканал"</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1866</v>
      </c>
      <c r="F13" s="1691" t="s">
        <v>309</v>
      </c>
      <c r="G13" s="644"/>
      <c r="H13" s="1703"/>
      <c r="J13" s="625">
        <v>19</v>
      </c>
    </row>
    <row customHeight="1" ht="19.95">
      <c r="A14" s="672"/>
      <c r="B14" s="672"/>
      <c r="C14" s="627"/>
      <c r="D14" s="1693" t="s">
        <v>720</v>
      </c>
      <c r="E14" s="1694" t="s">
        <v>1867</v>
      </c>
      <c r="F14" s="1696"/>
      <c r="G14" s="1695" t="s">
        <v>1868</v>
      </c>
      <c r="H14" s="1703"/>
      <c r="J14" s="625">
        <v>19</v>
      </c>
    </row>
    <row customHeight="1" ht="19.95">
      <c r="A15" s="672"/>
      <c r="B15" s="672"/>
      <c r="C15" s="627"/>
      <c r="D15" s="1693" t="s">
        <v>310</v>
      </c>
      <c r="E15" s="1694" t="s">
        <v>1869</v>
      </c>
      <c r="F15" s="1696"/>
      <c r="G15" s="1695" t="s">
        <v>1870</v>
      </c>
      <c r="H15" s="1703"/>
      <c r="J15" s="625">
        <v>19</v>
      </c>
    </row>
    <row customHeight="1" ht="24">
      <c r="A16" s="672"/>
      <c r="B16" s="672"/>
      <c r="C16" s="627"/>
      <c r="D16" s="1693" t="s">
        <v>313</v>
      </c>
      <c r="E16" s="1692" t="s">
        <v>1871</v>
      </c>
      <c r="F16" s="1701"/>
      <c r="G16" s="644" t="s">
        <v>1872</v>
      </c>
      <c r="H16" s="1703"/>
      <c r="J16" s="625">
        <v>23</v>
      </c>
    </row>
    <row customHeight="1" ht="48.29999999999999">
      <c r="A17" s="672"/>
      <c r="B17" s="672"/>
      <c r="C17" s="627"/>
      <c r="D17" s="1690">
        <v>3</v>
      </c>
      <c r="E17" s="1697" t="s">
        <v>1873</v>
      </c>
      <c r="F17" s="1696"/>
      <c r="G17" s="644" t="s">
        <v>1874</v>
      </c>
      <c r="H17" s="1703"/>
      <c r="J17" s="625">
        <v>46</v>
      </c>
    </row>
    <row customHeight="1" ht="48.29999999999999">
      <c r="A18" s="1645">
        <v>1</v>
      </c>
      <c r="B18" s="672"/>
      <c r="C18" s="1647"/>
      <c r="D18" s="1690" t="s">
        <v>90</v>
      </c>
      <c r="E18" s="1697" t="s">
        <v>1875</v>
      </c>
      <c r="F18" s="1696"/>
      <c r="G18" s="644" t="s">
        <v>1874</v>
      </c>
      <c r="H18" s="1703"/>
      <c r="I18" s="1022"/>
      <c r="J18" s="625">
        <v>46</v>
      </c>
    </row>
    <row customHeight="1" ht="23.25">
      <c r="A19" s="672"/>
      <c r="B19" s="672"/>
      <c r="C19" s="627"/>
      <c r="D19" s="1690" t="s">
        <v>110</v>
      </c>
      <c r="E19" s="1697" t="s">
        <v>1876</v>
      </c>
      <c r="F19" s="1691" t="s">
        <v>309</v>
      </c>
      <c r="G19" s="2641" t="s">
        <v>1877</v>
      </c>
      <c r="H19" s="645"/>
      <c r="J19" s="625">
        <v>22</v>
      </c>
    </row>
    <row s="12881" customFormat="1" customHeight="1" ht="5.25" hidden="1">
      <c r="A20" s="672"/>
      <c r="B20" s="672"/>
      <c r="C20" s="1699"/>
      <c r="D20" s="1698" t="s">
        <v>1127</v>
      </c>
      <c r="E20" s="1184"/>
      <c r="F20" s="1183"/>
      <c r="G20" s="2642"/>
      <c r="J20" s="1700">
        <v>0</v>
      </c>
    </row>
    <row customHeight="1" ht="15.75">
      <c r="A21" s="672"/>
      <c r="B21" s="672"/>
      <c r="C21" s="627"/>
      <c r="D21" s="637"/>
      <c r="E21" s="585" t="s">
        <v>342</v>
      </c>
      <c r="F21" s="639"/>
      <c r="G21" s="2643"/>
      <c r="H21" s="1703"/>
      <c r="J21" s="625">
        <v>15</v>
      </c>
    </row>
    <row s="10198" customFormat="1" customHeight="1" ht="26.25">
      <c r="A22" s="672"/>
      <c r="B22" s="672"/>
      <c r="C22" s="672"/>
      <c r="D22" s="1690" t="s">
        <v>91</v>
      </c>
      <c r="E22" s="644" t="s">
        <v>1878</v>
      </c>
      <c r="F22" s="1696"/>
      <c r="G22" s="644" t="s">
        <v>1879</v>
      </c>
      <c r="H22" s="1702"/>
      <c r="J22" s="671">
        <v>25</v>
      </c>
    </row>
    <row s="10198" customFormat="1" customHeight="1" ht="19.95">
      <c r="A23" s="672"/>
      <c r="B23" s="672"/>
      <c r="C23" s="672"/>
      <c r="D23" s="1690" t="s">
        <v>92</v>
      </c>
      <c r="E23" s="1697" t="s">
        <v>1880</v>
      </c>
      <c r="F23" s="1701"/>
      <c r="G23" s="644" t="s">
        <v>1881</v>
      </c>
      <c r="H23" s="1702"/>
      <c r="J23" s="671">
        <v>19</v>
      </c>
    </row>
    <row s="10198" customFormat="1" customHeight="1" ht="144" hidden="1">
      <c r="A24" s="672"/>
      <c r="B24" s="672"/>
      <c r="C24" s="672"/>
      <c r="D24" s="1690" t="s">
        <v>111</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81</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12092-AA31-45D5-C4F6-725D6005D8BF}" mc:Ignorable="x14ac xr xr2 xr3">
  <dimension ref="A1:IU24"/>
  <sheetViews>
    <sheetView topLeftCell="A1" showGridLines="0" zoomScale="90" workbookViewId="0">
      <selection activeCell="A1" sqref="A1"/>
    </sheetView>
  </sheetViews>
  <sheetFormatPr defaultColWidth="9.140625" customHeight="1" defaultRowHeight="14.25"/>
  <cols>
    <col min="1" max="1" style="9589" width="9.140625" hidden="1"/>
    <col min="2" max="2" style="9666" width="9.140625" hidden="1"/>
    <col min="3" max="3" style="9589" width="3.7109375" hidden="1" customWidth="1"/>
    <col min="4" max="4" style="9755" width="3.00390625" customWidth="1"/>
    <col min="5" max="5" style="9589" width="6.00390625" customWidth="1"/>
    <col min="6" max="6" style="9589" width="46.00390625" customWidth="1"/>
    <col min="7" max="8" style="9589" width="16.00390625" customWidth="1"/>
    <col min="9" max="9" style="9589" width="35.00390625" customWidth="1"/>
    <col min="10" max="10" style="9589" width="89.00390625" customWidth="1"/>
    <col min="11" max="11" style="9756" width="3.00390625" customWidth="1"/>
    <col min="12" max="14" style="9756" width="8.00390625" customWidth="1"/>
    <col min="15" max="15" style="9756" width="25.00390625" customWidth="1"/>
    <col min="16" max="16" style="9756" width="14.00390625" customWidth="1"/>
    <col min="17" max="20" style="9757" width="8.00390625" customWidth="1"/>
    <col min="21" max="254" style="9589" width="8.00390625" customWidth="1"/>
    <col min="255" max="255" style="9589" width="9.140625" hidden="1"/>
  </cols>
  <sheetData>
    <row customHeight="1" ht="22.5" hidden="1">
      <c r="F1" s="1801" t="s">
        <v>1882</v>
      </c>
      <c r="G1" s="1801" t="s">
        <v>48</v>
      </c>
      <c r="H1" s="1801" t="s">
        <v>50</v>
      </c>
      <c r="IU1" s="1325" t="s">
        <v>14</v>
      </c>
    </row>
    <row s="9727" customFormat="1" customHeight="1" ht="22.5" hidden="1">
      <c r="A2" s="1001"/>
      <c r="B2" s="1330">
        <v>1</v>
      </c>
      <c r="C2" s="1330"/>
      <c r="D2" s="2098" t="s">
        <v>489</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9667" customFormat="1" customHeight="1" ht="4.2">
      <c r="A3" s="666"/>
      <c r="D3" s="664"/>
      <c r="F3" s="417" t="s">
        <v>82</v>
      </c>
      <c r="G3" s="664" t="s">
        <v>83</v>
      </c>
      <c r="H3" s="664"/>
      <c r="I3" s="664"/>
      <c r="J3" s="397" t="s">
        <v>84</v>
      </c>
      <c r="K3" s="417" t="s">
        <v>82</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9682"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9682"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9682"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9682" customFormat="1" customHeight="1" ht="14.699999999999998">
      <c r="A7" s="1325"/>
      <c r="B7" s="1330"/>
      <c r="C7" s="1325"/>
      <c r="D7" s="1665"/>
      <c r="E7" s="2271" t="s">
        <v>303</v>
      </c>
      <c r="F7" s="2272"/>
      <c r="G7" s="2272"/>
      <c r="H7" s="2272"/>
      <c r="I7" s="2272"/>
      <c r="J7" s="2644" t="s">
        <v>304</v>
      </c>
      <c r="K7" s="670"/>
      <c r="L7" s="670"/>
      <c r="M7" s="670"/>
      <c r="N7" s="670"/>
      <c r="O7" s="396"/>
      <c r="P7" s="670"/>
      <c r="Q7" s="395"/>
      <c r="R7" s="395"/>
      <c r="S7" s="395"/>
      <c r="T7" s="395"/>
      <c r="IU7" s="677">
        <v>14</v>
      </c>
    </row>
    <row s="9682" customFormat="1" customHeight="1" ht="21">
      <c r="A8" s="1325"/>
      <c r="B8" s="1330"/>
      <c r="C8" s="1325"/>
      <c r="D8" s="1665"/>
      <c r="E8" s="1718" t="s">
        <v>87</v>
      </c>
      <c r="F8" s="1710" t="s">
        <v>1882</v>
      </c>
      <c r="G8" s="1710" t="s">
        <v>48</v>
      </c>
      <c r="H8" s="1710" t="s">
        <v>50</v>
      </c>
      <c r="I8" s="1710" t="s">
        <v>1883</v>
      </c>
      <c r="J8" s="2645"/>
      <c r="K8" s="670"/>
      <c r="L8" s="670"/>
      <c r="M8" s="670"/>
      <c r="N8" s="670"/>
      <c r="O8" s="396"/>
      <c r="P8" s="670"/>
      <c r="Q8" s="395"/>
      <c r="R8" s="395"/>
      <c r="S8" s="395"/>
      <c r="T8" s="395"/>
      <c r="IU8" s="677">
        <v>20</v>
      </c>
    </row>
    <row s="9727"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9727" customFormat="1" customHeight="1" ht="15.75">
      <c r="A10" s="1801"/>
      <c r="B10" s="1330"/>
      <c r="C10" s="582"/>
      <c r="D10" s="971"/>
      <c r="E10" s="1711"/>
      <c r="F10" s="1670" t="s">
        <v>1884</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9682"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9682"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9682"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9750" customFormat="1" customHeight="1" ht="10.5">
      <c r="B14" s="1004"/>
      <c r="D14" s="352"/>
      <c r="K14" s="670"/>
      <c r="L14" s="670"/>
      <c r="M14" s="670"/>
      <c r="N14" s="670"/>
      <c r="O14" s="396"/>
      <c r="P14" s="670"/>
      <c r="Q14" s="395"/>
      <c r="R14" s="395"/>
      <c r="S14" s="395"/>
      <c r="T14" s="395"/>
      <c r="IU14" s="351">
        <v>10</v>
      </c>
    </row>
    <row s="9750"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81</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E1AE2-9444-CD34-B5A8-83AFF772C8DC}" mc:Ignorable="x14ac xr xr2 xr3">
  <dimension ref="A1:IW15"/>
  <sheetViews>
    <sheetView topLeftCell="A1" showGridLines="0" zoomScale="90" workbookViewId="0">
      <selection activeCell="A1" sqref="A1"/>
    </sheetView>
  </sheetViews>
  <sheetFormatPr defaultColWidth="9.140625" customHeight="1" defaultRowHeight="14.25"/>
  <cols>
    <col min="1" max="1" style="9589" width="9.140625" hidden="1"/>
    <col min="2" max="2" style="9666" width="9.140625" hidden="1"/>
    <col min="3" max="3" style="9589" width="3.7109375" hidden="1" customWidth="1"/>
    <col min="4" max="4" style="9755" width="3.00390625" customWidth="1"/>
    <col min="5" max="5" style="9589" width="6.00390625" customWidth="1"/>
    <col min="6" max="6" style="9589" width="27.00390625" customWidth="1"/>
    <col min="7" max="7" style="9589" width="16.00390625" customWidth="1"/>
    <col min="8" max="8" style="9589" width="12.00390625" customWidth="1"/>
    <col min="9" max="9" style="9589" width="32.00390625" customWidth="1"/>
    <col min="10" max="11" style="9589" width="41.00390625" customWidth="1"/>
    <col min="12" max="12" style="9589" width="89.00390625" customWidth="1"/>
    <col min="13" max="13" style="9756" width="3.00390625" customWidth="1"/>
    <col min="14" max="16" style="9756" width="8.00390625" customWidth="1"/>
    <col min="17" max="17" style="9756" width="25.00390625" customWidth="1"/>
    <col min="18" max="18" style="9756" width="14.00390625" customWidth="1"/>
    <col min="19" max="22" style="9757" width="8.00390625" customWidth="1"/>
    <col min="23" max="256" style="9589" width="8.00390625" customWidth="1"/>
    <col min="257" max="257" style="9589" width="9.140625" hidden="1"/>
  </cols>
  <sheetData>
    <row customHeight="1" ht="22.5" hidden="1">
      <c r="IW1" s="1325" t="s">
        <v>14</v>
      </c>
    </row>
    <row s="9727" customFormat="1" customHeight="1" ht="22.5" hidden="1">
      <c r="A2" s="1001"/>
      <c r="B2" s="1330">
        <v>1</v>
      </c>
      <c r="C2" s="1330"/>
      <c r="D2" s="2098" t="s">
        <v>489</v>
      </c>
      <c r="E2" s="2059"/>
      <c r="F2" s="2062" t="str">
        <f>IF(ROIV_INFO_NAME="","",ROIV_INFO_NAME)</f>
        <v>МУП "Водоканал"</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9667" customFormat="1" customHeight="1" ht="5.25" hidden="1">
      <c r="A3" s="666"/>
      <c r="D3" s="664"/>
      <c r="F3" s="417" t="s">
        <v>82</v>
      </c>
      <c r="G3" s="1905" t="s">
        <v>83</v>
      </c>
      <c r="H3" s="664"/>
      <c r="I3" s="664"/>
      <c r="J3" s="664"/>
      <c r="K3" s="664"/>
      <c r="L3" s="397" t="s">
        <v>84</v>
      </c>
      <c r="M3" s="417" t="s">
        <v>82</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9682"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9682"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70"/>
      <c r="G5" s="2270"/>
      <c r="H5" s="2270"/>
      <c r="I5" s="2270"/>
      <c r="J5" s="2270"/>
      <c r="K5" s="2270"/>
      <c r="L5" s="758"/>
      <c r="M5" s="417"/>
      <c r="N5" s="670"/>
      <c r="O5" s="670"/>
      <c r="P5" s="670"/>
      <c r="Q5" s="396"/>
      <c r="R5" s="670"/>
      <c r="S5" s="395"/>
      <c r="T5" s="395"/>
      <c r="U5" s="395"/>
      <c r="V5" s="395"/>
      <c r="IW5" s="677">
        <v>26</v>
      </c>
    </row>
    <row s="9682"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9682" customFormat="1" customHeight="1" ht="14.699999999999998">
      <c r="A7" s="1325"/>
      <c r="B7" s="1330"/>
      <c r="C7" s="1325"/>
      <c r="D7" s="1665"/>
      <c r="E7" s="2271" t="s">
        <v>303</v>
      </c>
      <c r="F7" s="2272"/>
      <c r="G7" s="2272"/>
      <c r="H7" s="2272"/>
      <c r="I7" s="2272"/>
      <c r="J7" s="2272"/>
      <c r="K7" s="2272"/>
      <c r="L7" s="2644" t="s">
        <v>304</v>
      </c>
      <c r="M7" s="670"/>
      <c r="N7" s="670"/>
      <c r="O7" s="670"/>
      <c r="P7" s="670"/>
      <c r="Q7" s="396"/>
      <c r="R7" s="670"/>
      <c r="S7" s="395"/>
      <c r="T7" s="395"/>
      <c r="U7" s="395"/>
      <c r="V7" s="395"/>
      <c r="IW7" s="677">
        <v>14</v>
      </c>
    </row>
    <row s="9682" customFormat="1" customHeight="1" ht="67.2">
      <c r="A8" s="1325"/>
      <c r="B8" s="1330"/>
      <c r="C8" s="1325"/>
      <c r="D8" s="1665"/>
      <c r="E8" s="2648" t="s">
        <v>87</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9682" customFormat="1" customHeight="1" ht="29.25">
      <c r="A9" s="1325"/>
      <c r="B9" s="1330"/>
      <c r="C9" s="1325"/>
      <c r="D9" s="1665"/>
      <c r="E9" s="2649"/>
      <c r="F9" s="2649"/>
      <c r="G9" s="1707" t="s">
        <v>1885</v>
      </c>
      <c r="H9" s="1707" t="s">
        <v>1886</v>
      </c>
      <c r="I9" s="1707" t="s">
        <v>1887</v>
      </c>
      <c r="J9" s="2649"/>
      <c r="K9" s="2649"/>
      <c r="L9" s="2645"/>
      <c r="M9" s="670"/>
      <c r="N9" s="670"/>
      <c r="O9" s="670"/>
      <c r="P9" s="670"/>
      <c r="Q9" s="396"/>
      <c r="R9" s="670"/>
      <c r="S9" s="395"/>
      <c r="T9" s="395"/>
      <c r="U9" s="395"/>
      <c r="V9" s="395"/>
      <c r="IW9" s="677">
        <v>28</v>
      </c>
    </row>
    <row s="9727" customFormat="1" customHeight="1" ht="23.25">
      <c r="A10" s="2269"/>
      <c r="B10" s="1330">
        <v>1</v>
      </c>
      <c r="C10" s="1330"/>
      <c r="D10" s="970"/>
      <c r="E10" s="968">
        <v>1</v>
      </c>
      <c r="F10" s="1709" t="str">
        <f>IF(ROIV_INFO_NAME="","",ROIV_INFO_NAME)</f>
        <v>МУП "Водоканал"</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9727" customFormat="1" customHeight="1" ht="15.75">
      <c r="A11" s="2269"/>
      <c r="B11" s="1330"/>
      <c r="C11" s="582"/>
      <c r="D11" s="971"/>
      <c r="E11" s="591"/>
      <c r="F11" s="586" t="s">
        <v>1888</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9682"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9682"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9682"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81</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3C48-743F-6644-4216-005941E17274}" mc:Ignorable="x14ac xr xr2 xr3">
  <dimension ref="A1:IW15"/>
  <sheetViews>
    <sheetView topLeftCell="A1" showGridLines="0" zoomScale="90" workbookViewId="0">
      <selection activeCell="A1" sqref="A1"/>
    </sheetView>
  </sheetViews>
  <sheetFormatPr defaultColWidth="9.140625" customHeight="1" defaultRowHeight="14.25"/>
  <cols>
    <col min="1" max="1" style="9589" width="9.140625" hidden="1"/>
    <col min="2" max="2" style="9666" width="9.140625" hidden="1"/>
    <col min="3" max="3" style="9589" width="3.7109375" hidden="1" customWidth="1"/>
    <col min="4" max="4" style="9755" width="3.00390625" customWidth="1"/>
    <col min="5" max="5" style="9589" width="6.00390625" customWidth="1"/>
    <col min="6" max="6" style="9589" width="27.00390625" customWidth="1"/>
    <col min="7" max="7" style="9589" width="16.00390625" customWidth="1"/>
    <col min="8" max="8" style="9589" width="12.00390625" customWidth="1"/>
    <col min="9" max="9" style="9589" width="32.00390625" customWidth="1"/>
    <col min="10" max="11" style="9589" width="41.00390625" customWidth="1"/>
    <col min="12" max="12" style="9589" width="89.00390625" customWidth="1"/>
    <col min="13" max="13" style="9756" width="3.00390625" customWidth="1"/>
    <col min="14" max="16" style="9756" width="8.00390625" customWidth="1"/>
    <col min="17" max="17" style="9756" width="25.00390625" customWidth="1"/>
    <col min="18" max="18" style="9756" width="14.00390625" customWidth="1"/>
    <col min="19" max="22" style="9757" width="8.00390625" customWidth="1"/>
    <col min="23" max="256" style="9589" width="8.00390625" customWidth="1"/>
    <col min="257" max="257" style="9589" width="9.140625" hidden="1"/>
  </cols>
  <sheetData>
    <row customHeight="1" ht="22.5" hidden="1">
      <c r="IW1" s="1801" t="s">
        <v>14</v>
      </c>
    </row>
    <row s="9727" customFormat="1" customHeight="1" ht="22.5" hidden="1">
      <c r="A2" s="1001"/>
      <c r="B2" s="1536">
        <v>1</v>
      </c>
      <c r="C2" s="1536"/>
      <c r="D2" s="2098" t="s">
        <v>489</v>
      </c>
      <c r="E2" s="2074"/>
      <c r="F2" s="2076" t="str">
        <f>IF(ROIV_INFO_NAME="","",ROIV_INFO_NAME)</f>
        <v>МУП "Водоканал"</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9667" customFormat="1" customHeight="1" ht="5.25" hidden="1">
      <c r="A3" s="1811"/>
      <c r="D3" s="2063"/>
      <c r="F3" s="418" t="s">
        <v>82</v>
      </c>
      <c r="G3" s="1905" t="s">
        <v>83</v>
      </c>
      <c r="H3" s="2063"/>
      <c r="I3" s="2063"/>
      <c r="J3" s="2063"/>
      <c r="K3" s="2063"/>
      <c r="L3" s="397" t="s">
        <v>84</v>
      </c>
      <c r="M3" s="418" t="s">
        <v>82</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9682"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9682"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70"/>
      <c r="G5" s="2270"/>
      <c r="H5" s="2270"/>
      <c r="I5" s="2270"/>
      <c r="J5" s="2270"/>
      <c r="K5" s="2270"/>
      <c r="L5" s="1805"/>
      <c r="M5" s="418"/>
      <c r="N5" s="1794"/>
      <c r="O5" s="1794"/>
      <c r="P5" s="1794"/>
      <c r="Q5" s="1794"/>
      <c r="R5" s="1794"/>
      <c r="S5" s="395"/>
      <c r="T5" s="395"/>
      <c r="U5" s="395"/>
      <c r="V5" s="395"/>
      <c r="IW5" s="1779">
        <v>26</v>
      </c>
    </row>
    <row s="9682"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9682" customFormat="1" customHeight="1" ht="14.699999999999998">
      <c r="A7" s="1801"/>
      <c r="B7" s="1536"/>
      <c r="C7" s="1801"/>
      <c r="D7" s="1685"/>
      <c r="E7" s="2271" t="s">
        <v>303</v>
      </c>
      <c r="F7" s="2272"/>
      <c r="G7" s="2272"/>
      <c r="H7" s="2272"/>
      <c r="I7" s="2272"/>
      <c r="J7" s="2272"/>
      <c r="K7" s="2272"/>
      <c r="L7" s="2644" t="s">
        <v>304</v>
      </c>
      <c r="M7" s="1794"/>
      <c r="N7" s="1794"/>
      <c r="O7" s="1794"/>
      <c r="P7" s="1794"/>
      <c r="Q7" s="1794"/>
      <c r="R7" s="1794"/>
      <c r="S7" s="395"/>
      <c r="T7" s="395"/>
      <c r="U7" s="395"/>
      <c r="V7" s="395"/>
      <c r="IW7" s="1779">
        <v>14</v>
      </c>
    </row>
    <row s="9682" customFormat="1" customHeight="1" ht="67.2">
      <c r="A8" s="1801"/>
      <c r="B8" s="1536"/>
      <c r="C8" s="1801"/>
      <c r="D8" s="1685"/>
      <c r="E8" s="2648" t="s">
        <v>87</v>
      </c>
      <c r="F8" s="2648" t="s">
        <v>1889</v>
      </c>
      <c r="G8" s="2650" t="s">
        <v>1890</v>
      </c>
      <c r="H8" s="2651"/>
      <c r="I8" s="2652"/>
      <c r="J8" s="2648" t="s">
        <v>1891</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9682" customFormat="1" customHeight="1" ht="29.25">
      <c r="A9" s="1801"/>
      <c r="B9" s="1536"/>
      <c r="C9" s="1801"/>
      <c r="D9" s="1685"/>
      <c r="E9" s="2649"/>
      <c r="F9" s="2649"/>
      <c r="G9" s="2064" t="s">
        <v>1885</v>
      </c>
      <c r="H9" s="2064" t="s">
        <v>1886</v>
      </c>
      <c r="I9" s="2064" t="s">
        <v>1887</v>
      </c>
      <c r="J9" s="2649"/>
      <c r="K9" s="2649"/>
      <c r="L9" s="2645"/>
      <c r="M9" s="1794"/>
      <c r="N9" s="1794"/>
      <c r="O9" s="1794"/>
      <c r="P9" s="1794"/>
      <c r="Q9" s="1794"/>
      <c r="R9" s="1794"/>
      <c r="S9" s="395"/>
      <c r="T9" s="395"/>
      <c r="U9" s="395"/>
      <c r="V9" s="395"/>
      <c r="IW9" s="1779">
        <v>28</v>
      </c>
    </row>
    <row s="9727" customFormat="1" customHeight="1" ht="1.05">
      <c r="A10" s="2269"/>
      <c r="B10" s="1536">
        <v>1</v>
      </c>
      <c r="C10" s="1536"/>
      <c r="D10" s="970"/>
      <c r="E10" s="965">
        <v>0</v>
      </c>
      <c r="F10" s="2061" t="str">
        <f>IF(ROIV_INFO_NAME="","",ROIV_INFO_NAME)</f>
        <v>МУП "Водоканал"</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9727" customFormat="1" customHeight="1" ht="15.75">
      <c r="A11" s="2269"/>
      <c r="B11" s="1536"/>
      <c r="C11" s="582"/>
      <c r="D11" s="971"/>
      <c r="E11" s="591"/>
      <c r="F11" s="821" t="s">
        <v>1888</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9682"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9682"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9682"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81</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4B279-02F8-F9B2-C93C-9619CD0FCC93}" mc:Ignorable="x14ac xr xr2 xr3">
  <dimension ref="A1:Q19"/>
  <sheetViews>
    <sheetView topLeftCell="A1" showGridLines="0" zoomScale="90" workbookViewId="0">
      <selection activeCell="A1" sqref="A1"/>
    </sheetView>
  </sheetViews>
  <sheetFormatPr defaultColWidth="9.140625" customHeight="1" defaultRowHeight="14.25"/>
  <cols>
    <col min="1" max="1" style="9589" width="9.140625" hidden="1"/>
    <col min="2" max="2" style="9666" width="9.140625" hidden="1"/>
    <col min="3" max="3" style="9589" width="3.7109375" hidden="1" customWidth="1"/>
    <col min="4" max="4" style="9755" width="3.00390625" customWidth="1"/>
    <col min="5" max="5" style="9589" width="6.00390625" customWidth="1"/>
    <col min="6" max="6" style="9589" width="27.00390625" customWidth="1"/>
    <col min="7" max="7" style="9589" width="29.00390625" customWidth="1"/>
    <col min="8" max="8" style="9589" width="25.00390625" customWidth="1"/>
    <col min="9" max="9" style="9589" width="5.00390625" customWidth="1"/>
    <col min="10" max="10" style="9589" width="6.00390625" customWidth="1"/>
    <col min="11" max="11" style="9589" width="41.00390625" customWidth="1"/>
    <col min="12" max="12" style="9589" width="42.00390625" customWidth="1"/>
    <col min="13" max="13" style="9589" width="41.00390625" customWidth="1"/>
    <col min="14" max="14" style="9589" width="89.00390625" customWidth="1"/>
    <col min="15" max="15" style="9756" width="3.00390625" customWidth="1"/>
    <col min="16" max="16" style="9756" width="8.00390625" customWidth="1"/>
    <col min="17" max="17" style="9589" width="9.140625" hidden="1"/>
  </cols>
  <sheetData>
    <row customHeight="1" ht="22.5" hidden="1">
      <c r="Q1" s="1325" t="s">
        <v>14</v>
      </c>
    </row>
    <row s="9727" customFormat="1" customHeight="1" ht="22.5" hidden="1">
      <c r="A2" s="666"/>
      <c r="B2" s="1330">
        <v>1</v>
      </c>
      <c r="C2" s="1330"/>
      <c r="D2" s="2098" t="s">
        <v>489</v>
      </c>
      <c r="E2" s="2297">
        <v>1</v>
      </c>
      <c r="F2" s="2473" t="str">
        <f>IF(region_name="","",region_name)</f>
        <v>Республика Марий Эл</v>
      </c>
      <c r="G2" s="2653"/>
      <c r="H2" s="2654"/>
      <c r="I2" s="644"/>
      <c r="J2" s="2080">
        <v>1</v>
      </c>
      <c r="K2" s="2082"/>
      <c r="L2" s="2082"/>
      <c r="M2" s="2082"/>
      <c r="N2" s="662"/>
      <c r="O2" s="1705"/>
      <c r="P2" s="681"/>
      <c r="Q2" s="593">
        <v>0</v>
      </c>
    </row>
    <row s="9727" customFormat="1" customHeight="1" ht="22.5" hidden="1">
      <c r="A3" s="1001"/>
      <c r="B3" s="1330"/>
      <c r="C3" s="1330"/>
      <c r="D3" s="971"/>
      <c r="E3" s="2297"/>
      <c r="F3" s="2473"/>
      <c r="G3" s="2653"/>
      <c r="H3" s="2655"/>
      <c r="I3" s="591"/>
      <c r="J3" s="1670"/>
      <c r="K3" s="1670" t="s">
        <v>1892</v>
      </c>
      <c r="L3" s="1713"/>
      <c r="M3" s="2090"/>
      <c r="N3" s="2083"/>
      <c r="O3" s="1705"/>
      <c r="P3" s="681"/>
      <c r="Q3" s="593">
        <v>0</v>
      </c>
    </row>
    <row s="9667" customFormat="1" customHeight="1" ht="5.25" hidden="1">
      <c r="A4" s="666"/>
      <c r="D4" s="664"/>
      <c r="F4" s="417" t="s">
        <v>82</v>
      </c>
      <c r="G4" s="664" t="s">
        <v>83</v>
      </c>
      <c r="H4" s="664"/>
      <c r="I4" s="2093"/>
      <c r="J4" s="1714"/>
      <c r="K4" s="2081"/>
      <c r="L4" s="2081"/>
      <c r="M4" s="2081"/>
      <c r="N4" s="2077"/>
      <c r="O4" s="417" t="s">
        <v>82</v>
      </c>
      <c r="P4" s="417"/>
      <c r="Q4" s="681">
        <v>0</v>
      </c>
    </row>
    <row s="9727" customFormat="1" customHeight="1" ht="22.5" hidden="1">
      <c r="A5" s="1811"/>
      <c r="B5" s="1536">
        <v>1</v>
      </c>
      <c r="C5" s="1536"/>
      <c r="D5" s="971"/>
      <c r="E5" s="2083"/>
      <c r="F5" s="2083"/>
      <c r="G5" s="2083"/>
      <c r="H5" s="2094"/>
      <c r="I5" s="2099" t="s">
        <v>489</v>
      </c>
      <c r="J5" s="2092">
        <v>1</v>
      </c>
      <c r="K5" s="2082"/>
      <c r="L5" s="2082"/>
      <c r="M5" s="2082"/>
      <c r="N5" s="662"/>
      <c r="O5" s="1705"/>
      <c r="P5" s="1806"/>
      <c r="Q5" s="794">
        <v>0</v>
      </c>
    </row>
    <row s="9682" customFormat="1" customHeight="1" ht="14.699999999999998">
      <c r="A6" s="1325"/>
      <c r="B6" s="1330"/>
      <c r="C6" s="1325"/>
      <c r="D6" s="1665"/>
      <c r="E6" s="679"/>
      <c r="F6" s="679"/>
      <c r="G6" s="679"/>
      <c r="H6" s="679"/>
      <c r="I6" s="679"/>
      <c r="J6" s="679"/>
      <c r="K6" s="679"/>
      <c r="L6" s="679"/>
      <c r="M6" s="679"/>
      <c r="N6" s="1805"/>
      <c r="O6" s="417"/>
      <c r="P6" s="670"/>
      <c r="Q6" s="677">
        <v>14</v>
      </c>
    </row>
    <row s="9682"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9682" customFormat="1" customHeight="1" ht="14.699999999999998">
      <c r="A8" s="1325"/>
      <c r="B8" s="1330"/>
      <c r="C8" s="1325"/>
      <c r="D8" s="1665"/>
      <c r="E8" s="679"/>
      <c r="F8" s="337"/>
      <c r="G8" s="337"/>
      <c r="H8" s="337"/>
      <c r="I8" s="337"/>
      <c r="J8" s="337"/>
      <c r="K8" s="337"/>
      <c r="L8" s="337"/>
      <c r="M8" s="337"/>
      <c r="N8" s="786"/>
      <c r="O8" s="670"/>
      <c r="P8" s="670"/>
      <c r="Q8" s="677">
        <v>14</v>
      </c>
    </row>
    <row s="12948" customFormat="1" customHeight="1" ht="14.25" hidden="1">
      <c r="A9" s="1638"/>
      <c r="B9" s="1648"/>
      <c r="C9" s="1638"/>
      <c r="D9" s="1665"/>
      <c r="E9" s="2084"/>
      <c r="F9" s="2084"/>
      <c r="G9" s="2084"/>
      <c r="H9" s="2084"/>
      <c r="I9" s="2663"/>
      <c r="J9" s="2663"/>
      <c r="K9" s="2663"/>
      <c r="L9" s="2084"/>
      <c r="M9" s="2085"/>
      <c r="O9" s="1715"/>
      <c r="P9" s="1715"/>
      <c r="Q9" s="1716">
        <v>0</v>
      </c>
    </row>
    <row s="9682" customFormat="1" customHeight="1" ht="14.699999999999998">
      <c r="A10" s="1325"/>
      <c r="B10" s="1330"/>
      <c r="C10" s="1325"/>
      <c r="D10" s="1665"/>
      <c r="E10" s="2297" t="s">
        <v>303</v>
      </c>
      <c r="F10" s="2297"/>
      <c r="G10" s="2297"/>
      <c r="H10" s="2297"/>
      <c r="I10" s="2297"/>
      <c r="J10" s="2297"/>
      <c r="K10" s="2297"/>
      <c r="L10" s="2297"/>
      <c r="M10" s="2271"/>
      <c r="N10" s="2648" t="s">
        <v>304</v>
      </c>
      <c r="O10" s="670"/>
      <c r="P10" s="670"/>
      <c r="Q10" s="677">
        <v>14</v>
      </c>
    </row>
    <row s="9682" customFormat="1" customHeight="1" ht="44.25">
      <c r="A11" s="1801"/>
      <c r="B11" s="1536"/>
      <c r="C11" s="1801"/>
      <c r="D11" s="1685"/>
      <c r="E11" s="2662" t="s">
        <v>87</v>
      </c>
      <c r="F11" s="2662" t="s">
        <v>307</v>
      </c>
      <c r="G11" s="2662" t="s">
        <v>1893</v>
      </c>
      <c r="H11" s="2662"/>
      <c r="I11" s="2662" t="s">
        <v>1894</v>
      </c>
      <c r="J11" s="2662"/>
      <c r="K11" s="2662"/>
      <c r="L11" s="2662" t="s">
        <v>1895</v>
      </c>
      <c r="M11" s="2650" t="s">
        <v>1896</v>
      </c>
      <c r="N11" s="2661"/>
      <c r="O11" s="1794"/>
      <c r="P11" s="1794"/>
      <c r="Q11" s="1779">
        <v>42</v>
      </c>
    </row>
    <row s="9682" customFormat="1" customHeight="1" ht="29.25">
      <c r="A12" s="1325"/>
      <c r="B12" s="1330"/>
      <c r="C12" s="1325"/>
      <c r="D12" s="1665"/>
      <c r="E12" s="2648"/>
      <c r="F12" s="2662"/>
      <c r="G12" s="2079" t="s">
        <v>1897</v>
      </c>
      <c r="H12" s="2079" t="s">
        <v>311</v>
      </c>
      <c r="I12" s="2662"/>
      <c r="J12" s="2662"/>
      <c r="K12" s="2662"/>
      <c r="L12" s="2662"/>
      <c r="M12" s="2650"/>
      <c r="N12" s="2649"/>
      <c r="O12" s="670"/>
      <c r="P12" s="670"/>
      <c r="Q12" s="677">
        <v>28</v>
      </c>
    </row>
    <row s="9727" customFormat="1" customHeight="1" ht="23.25">
      <c r="A13" s="2269">
        <v>26379339</v>
      </c>
      <c r="B13" s="1330">
        <v>1</v>
      </c>
      <c r="C13" s="1330"/>
      <c r="D13" s="971"/>
      <c r="E13" s="2297">
        <v>1</v>
      </c>
      <c r="F13" s="2656" t="str">
        <f>IF(region_name="","",region_name)</f>
        <v>Республика Марий Эл</v>
      </c>
      <c r="G13" s="2657"/>
      <c r="H13" s="2664"/>
      <c r="I13" s="644"/>
      <c r="J13" s="2075">
        <v>1</v>
      </c>
      <c r="K13" s="2088"/>
      <c r="L13" s="2089"/>
      <c r="M13" s="2089"/>
      <c r="N13" s="2658" t="s">
        <v>1898</v>
      </c>
      <c r="O13" s="1705"/>
      <c r="P13" s="681"/>
      <c r="Q13" s="593">
        <v>22</v>
      </c>
    </row>
    <row s="9727" customFormat="1" customHeight="1" ht="23.25">
      <c r="A14" s="2269"/>
      <c r="B14" s="1330"/>
      <c r="C14" s="1330"/>
      <c r="D14" s="971"/>
      <c r="E14" s="2297"/>
      <c r="F14" s="2656"/>
      <c r="G14" s="2657"/>
      <c r="H14" s="2665"/>
      <c r="I14" s="591"/>
      <c r="J14" s="1670"/>
      <c r="K14" s="1670" t="s">
        <v>1892</v>
      </c>
      <c r="L14" s="1713"/>
      <c r="M14" s="1713"/>
      <c r="N14" s="2659"/>
      <c r="O14" s="1705"/>
      <c r="P14" s="681"/>
      <c r="Q14" s="593">
        <v>22</v>
      </c>
    </row>
    <row s="9727" customFormat="1" customHeight="1" ht="23.25">
      <c r="A15" s="2269"/>
      <c r="B15" s="1330"/>
      <c r="C15" s="582"/>
      <c r="D15" s="971"/>
      <c r="E15" s="591"/>
      <c r="F15" s="1670" t="s">
        <v>1884</v>
      </c>
      <c r="G15" s="1712"/>
      <c r="H15" s="1712"/>
      <c r="I15" s="357"/>
      <c r="J15" s="357"/>
      <c r="K15" s="357"/>
      <c r="L15" s="357"/>
      <c r="M15" s="357"/>
      <c r="N15" s="2659"/>
      <c r="O15" s="1706"/>
      <c r="P15" s="681"/>
      <c r="Q15" s="593">
        <v>22</v>
      </c>
    </row>
    <row s="9682" customFormat="1" customHeight="1" ht="22.049999999999997">
      <c r="A16" s="1325"/>
      <c r="B16" s="1330"/>
      <c r="C16" s="1325"/>
      <c r="D16" s="621"/>
      <c r="E16" s="350"/>
      <c r="F16" s="350"/>
      <c r="G16" s="350"/>
      <c r="H16" s="350"/>
      <c r="I16" s="350"/>
      <c r="J16" s="350"/>
      <c r="K16" s="350"/>
      <c r="L16" s="350"/>
      <c r="M16" s="679"/>
      <c r="N16" s="1805"/>
      <c r="O16" s="670"/>
      <c r="P16" s="670"/>
      <c r="Q16" s="677">
        <v>21</v>
      </c>
    </row>
    <row s="9682"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9682"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81</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2E42E-15D8-8D2D-B785-09A86B6E6FD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0154" width="9.140625" hidden="1"/>
    <col min="2" max="2" style="12690" width="9.140625" hidden="1"/>
    <col min="3" max="3" style="12988" width="3.00390625" customWidth="1"/>
    <col min="4" max="4" style="12690" width="6.00390625" customWidth="1"/>
    <col min="5" max="5" style="12690" width="22.00390625" customWidth="1"/>
    <col min="6" max="6" style="12690" width="15.00390625" customWidth="1"/>
    <col min="7" max="7" style="12690" width="14.00390625" customWidth="1"/>
    <col min="8" max="8" style="12690" width="47.00390625" customWidth="1"/>
    <col min="9" max="9" style="12690" width="115.00390625" customWidth="1"/>
    <col min="10" max="10" style="12690" width="3.00390625" customWidth="1"/>
    <col min="11" max="12" style="12690" width="8.00390625" customWidth="1"/>
    <col min="13" max="13" style="12690" width="9.140625" hidden="1"/>
  </cols>
  <sheetData>
    <row customHeight="1" ht="14.25" hidden="1">
      <c r="M1" s="291" t="s">
        <v>14</v>
      </c>
    </row>
    <row customHeight="1" ht="14.25" hidden="1">
      <c r="M2" s="291">
        <v>0</v>
      </c>
    </row>
    <row customHeight="1" ht="14.25" hidden="1">
      <c r="M3" s="291">
        <v>0</v>
      </c>
    </row>
    <row customHeight="1" ht="3">
      <c r="M4" s="291">
        <v>3</v>
      </c>
    </row>
    <row s="9589" customFormat="1" customHeight="1" ht="31.5">
      <c r="A5" s="285"/>
      <c r="C5" s="260"/>
      <c r="D5" s="2270" t="s">
        <v>1899</v>
      </c>
      <c r="E5" s="2270"/>
      <c r="F5" s="2270"/>
      <c r="G5" s="2270"/>
      <c r="H5" s="2270"/>
      <c r="I5" s="435"/>
      <c r="M5" s="253">
        <v>30</v>
      </c>
    </row>
    <row customHeight="1" ht="3" hidden="1">
      <c r="D6" s="292"/>
      <c r="E6" s="292"/>
      <c r="F6" s="292"/>
      <c r="G6" s="292"/>
      <c r="H6" s="292"/>
      <c r="I6" s="292"/>
      <c r="M6" s="291">
        <v>0</v>
      </c>
    </row>
    <row s="10154" customFormat="1" customHeight="1" ht="14.699999999999998">
      <c r="B7" s="289"/>
      <c r="C7" s="290"/>
      <c r="D7" s="293"/>
      <c r="E7" s="293"/>
      <c r="F7" s="293"/>
      <c r="G7" s="293"/>
      <c r="H7" s="922"/>
      <c r="I7" s="293"/>
      <c r="J7" s="294"/>
      <c r="M7" s="288">
        <v>14</v>
      </c>
    </row>
    <row customHeight="1" ht="14.699999999999998">
      <c r="D8" s="2379" t="s">
        <v>303</v>
      </c>
      <c r="E8" s="2379"/>
      <c r="F8" s="2379"/>
      <c r="G8" s="2379"/>
      <c r="H8" s="2379"/>
      <c r="I8" s="2379" t="s">
        <v>304</v>
      </c>
      <c r="M8" s="291">
        <v>14</v>
      </c>
    </row>
    <row customHeight="1" ht="29.25">
      <c r="D9" s="2379" t="s">
        <v>87</v>
      </c>
      <c r="E9" s="2379" t="s">
        <v>1900</v>
      </c>
      <c r="F9" s="2379"/>
      <c r="G9" s="2379"/>
      <c r="H9" s="2379"/>
      <c r="I9" s="2379"/>
      <c r="M9" s="291">
        <v>28</v>
      </c>
    </row>
    <row customHeight="1" ht="24">
      <c r="D10" s="2379"/>
      <c r="E10" s="297" t="s">
        <v>1901</v>
      </c>
      <c r="F10" s="297" t="s">
        <v>1902</v>
      </c>
      <c r="G10" s="297" t="s">
        <v>1903</v>
      </c>
      <c r="H10" s="297" t="s">
        <v>393</v>
      </c>
      <c r="I10" s="2379"/>
      <c r="M10" s="291">
        <v>23</v>
      </c>
    </row>
    <row customHeight="1" ht="12" hidden="1">
      <c r="D11" s="257" t="s">
        <v>108</v>
      </c>
      <c r="E11" s="257" t="s">
        <v>90</v>
      </c>
      <c r="F11" s="257" t="s">
        <v>110</v>
      </c>
      <c r="G11" s="257" t="s">
        <v>91</v>
      </c>
      <c r="H11" s="257" t="s">
        <v>92</v>
      </c>
      <c r="I11" s="257" t="s">
        <v>111</v>
      </c>
      <c r="M11" s="291">
        <v>0</v>
      </c>
    </row>
    <row s="12690" customFormat="1" customHeight="1" ht="26.25">
      <c r="A12" s="315" t="s">
        <v>89</v>
      </c>
      <c r="B12" s="295" t="s">
        <v>28</v>
      </c>
      <c r="C12" s="296"/>
      <c r="D12" s="298" t="s">
        <v>108</v>
      </c>
      <c r="E12" s="551"/>
      <c r="F12" s="551"/>
      <c r="G12" s="1904" t="s">
        <v>28</v>
      </c>
      <c r="H12" s="552"/>
      <c r="I12" s="2339" t="s">
        <v>1904</v>
      </c>
      <c r="K12" s="442"/>
      <c r="L12" s="443"/>
      <c r="M12" s="287">
        <v>25</v>
      </c>
    </row>
    <row customHeight="1" ht="15.75">
      <c r="A13" s="291"/>
      <c r="B13" s="291"/>
      <c r="C13" s="291"/>
      <c r="D13" s="279"/>
      <c r="E13" s="300" t="s">
        <v>468</v>
      </c>
      <c r="F13" s="299"/>
      <c r="G13" s="299"/>
      <c r="H13" s="384"/>
      <c r="I13" s="2341"/>
      <c r="M13" s="291">
        <v>15</v>
      </c>
    </row>
    <row customHeight="1" ht="3">
      <c r="A14" s="291"/>
      <c r="B14" s="291"/>
      <c r="C14" s="291"/>
      <c r="M14" s="291">
        <v>3</v>
      </c>
    </row>
    <row customHeight="1" ht="29.25">
      <c r="E15" s="2666" t="s">
        <v>1905</v>
      </c>
      <c r="F15" s="2666"/>
      <c r="G15" s="2666"/>
      <c r="H15" s="2666"/>
      <c r="M15" s="291">
        <v>28</v>
      </c>
    </row>
    <row customHeight="1" ht="14.25" hidden="1">
      <c r="A16" s="288" t="s">
        <v>81</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F14E-6C46-DB14-F56A-F62869F0A86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007" width="9.140625" hidden="1"/>
    <col min="3" max="3" style="13008" width="3.00390625" customWidth="1"/>
    <col min="4" max="4" style="13007" width="6.00390625" customWidth="1"/>
    <col min="5" max="5" style="13007" width="94.00390625" customWidth="1"/>
    <col min="6" max="9" style="13007" width="8.00390625" customWidth="1"/>
    <col min="10" max="10" style="13007"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1906</v>
      </c>
      <c r="E7" s="2668"/>
      <c r="F7" s="437"/>
      <c r="J7" s="239">
        <v>22</v>
      </c>
    </row>
    <row customHeight="1" ht="3">
      <c r="C8" s="262"/>
      <c r="D8" s="240"/>
      <c r="E8" s="240"/>
      <c r="J8" s="239">
        <v>3</v>
      </c>
    </row>
    <row customHeight="1" ht="16.8">
      <c r="C9" s="262"/>
      <c r="D9" s="275" t="s">
        <v>87</v>
      </c>
      <c r="E9" s="430" t="s">
        <v>1907</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1908</v>
      </c>
      <c r="J13" s="239">
        <v>12</v>
      </c>
    </row>
    <row customHeight="1" ht="3">
      <c r="J14" s="239">
        <v>3</v>
      </c>
    </row>
    <row customHeight="1" ht="23.25">
      <c r="C15" s="307"/>
      <c r="D15" s="2669" t="s">
        <v>1909</v>
      </c>
      <c r="E15" s="2669"/>
      <c r="F15" s="308"/>
      <c r="G15" s="308"/>
      <c r="H15" s="308"/>
      <c r="I15" s="308"/>
      <c r="J15" s="239">
        <v>22</v>
      </c>
    </row>
    <row customHeight="1" ht="14.25" hidden="1">
      <c r="A16" s="239" t="s">
        <v>81</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2F934-C1D3-5F13-2285-022120CC4E4D}"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13007" width="9.140625" hidden="1"/>
    <col min="3" max="3" style="13008" width="3.00390625" customWidth="1"/>
    <col min="4" max="4" style="13007" width="6.00390625" customWidth="1"/>
    <col min="5" max="5" style="13007" width="94.00390625" customWidth="1"/>
    <col min="6" max="12" style="13007" width="8.00390625" customWidth="1"/>
    <col min="13" max="13" style="13007"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1910</v>
      </c>
      <c r="E7" s="2270"/>
      <c r="F7" s="437"/>
      <c r="M7" s="239">
        <v>22</v>
      </c>
    </row>
    <row customHeight="1" ht="3">
      <c r="C8" s="262"/>
      <c r="D8" s="240"/>
      <c r="E8" s="240"/>
      <c r="M8" s="239">
        <v>3</v>
      </c>
    </row>
    <row customHeight="1" ht="16.8">
      <c r="C9" s="262"/>
      <c r="D9" s="275" t="s">
        <v>87</v>
      </c>
      <c r="E9" s="278" t="s">
        <v>290</v>
      </c>
      <c r="M9" s="239">
        <v>16</v>
      </c>
    </row>
    <row customHeight="1" ht="12.75">
      <c r="C10" s="262"/>
      <c r="D10" s="257" t="s">
        <v>108</v>
      </c>
      <c r="E10" s="257" t="s">
        <v>109</v>
      </c>
      <c r="M10" s="239">
        <v>12</v>
      </c>
    </row>
    <row customHeight="1" ht="15" hidden="1">
      <c r="C11" s="262"/>
      <c r="D11" s="283">
        <v>0</v>
      </c>
      <c r="E11" s="319"/>
      <c r="M11" s="239">
        <v>0</v>
      </c>
    </row>
    <row customHeight="1" ht="17.25">
      <c r="A12" s="13011"/>
      <c r="B12" s="13011"/>
      <c r="C12" s="1987" t="s">
        <v>489</v>
      </c>
      <c r="D12" s="283" t="s">
        <v>108</v>
      </c>
      <c r="E12" s="284" t="s">
        <v>1911</v>
      </c>
      <c r="F12" s="13011"/>
      <c r="G12" s="13011"/>
      <c r="H12" s="13011"/>
      <c r="I12" s="13011"/>
      <c r="J12" s="13011"/>
      <c r="K12" s="13011"/>
      <c r="L12" s="13011"/>
      <c r="M12" s="13011"/>
    </row>
    <row customHeight="1" ht="14.699999999999998">
      <c r="C13" s="262"/>
      <c r="D13" s="279"/>
      <c r="E13" s="277" t="s">
        <v>1908</v>
      </c>
      <c r="M13" s="239">
        <v>14</v>
      </c>
    </row>
    <row customHeight="1" ht="14.25" hidden="1">
      <c r="A14" s="239" t="s">
        <v>81</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83C21-FA1D-310B-E3AA-38B2E350CC3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9727" width="9.140625" hidden="1"/>
    <col min="3" max="4" style="9727" width="3.00390625" customWidth="1"/>
    <col min="5" max="6" style="9727" width="15.00390625" customWidth="1"/>
    <col min="7" max="7" style="9727" width="11.57421875" customWidth="1"/>
    <col min="8" max="9" style="9727" width="3.00390625" customWidth="1"/>
    <col min="10" max="10" style="9727" width="12.00390625" customWidth="1"/>
    <col min="11" max="11" style="9727" width="0.28125" customWidth="1"/>
    <col min="12" max="13" style="9727" width="10.00390625" customWidth="1"/>
    <col min="14" max="15" style="9727" width="3.00390625" customWidth="1"/>
    <col min="16" max="16" style="9727" width="19.00390625" customWidth="1"/>
    <col min="17" max="17" style="9727" width="0.28125" customWidth="1"/>
    <col min="18" max="19" style="9727" width="10.00390625" customWidth="1"/>
    <col min="20" max="21" style="9727" width="3.00390625" customWidth="1"/>
    <col min="22" max="22" style="9727" width="25.00390625" customWidth="1"/>
    <col min="23" max="23" style="9727" width="0.28125" customWidth="1"/>
    <col min="24" max="25" style="9727" width="10.00390625" customWidth="1"/>
    <col min="26" max="27" style="9727" width="3.00390625" customWidth="1"/>
    <col min="28" max="28" style="9727" width="16.00390625" customWidth="1"/>
    <col min="29" max="29" style="9727" width="0.28125" customWidth="1"/>
    <col min="30" max="31" style="9727" width="10.00390625" customWidth="1"/>
    <col min="32" max="33" style="9727" width="3.00390625" customWidth="1"/>
    <col min="34" max="34" style="9727" width="8.00390625" customWidth="1"/>
    <col min="35" max="35" style="9727" width="21.00390625" customWidth="1"/>
    <col min="36" max="36" style="9727" width="8.00390625" customWidth="1"/>
    <col min="37" max="37" style="10154" width="8.00390625" customWidth="1"/>
    <col min="38" max="64" style="9727" width="8.00390625" customWidth="1"/>
    <col min="65" max="65" style="9727" width="9.140625" hidden="1"/>
  </cols>
  <sheetData>
    <row s="10078"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10079" customFormat="1" customHeight="1" ht="11.25" hidden="1">
      <c r="L2" s="1723" t="s">
        <v>282</v>
      </c>
      <c r="M2" s="1723" t="s">
        <v>283</v>
      </c>
      <c r="R2" s="1723" t="s">
        <v>284</v>
      </c>
      <c r="S2" s="1723" t="s">
        <v>283</v>
      </c>
      <c r="X2" s="1723" t="s">
        <v>282</v>
      </c>
      <c r="Y2" s="1723" t="s">
        <v>283</v>
      </c>
      <c r="AD2" s="1723" t="s">
        <v>282</v>
      </c>
      <c r="AE2" s="1723" t="s">
        <v>283</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10082"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9682" customFormat="1" customHeight="1" ht="34.5">
      <c r="A4" s="1326"/>
      <c r="B4" s="1325"/>
      <c r="C4" s="1685"/>
      <c r="D4" s="2361" t="s">
        <v>285</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9682" customFormat="1" customHeight="1" ht="14.699999999999998">
      <c r="A5" s="1802"/>
      <c r="B5" s="1801"/>
      <c r="C5" s="1685"/>
      <c r="D5" s="2346" t="str">
        <f>IF(org=0,"Не определено",org)</f>
        <v>МУП "Водоканал"</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9682"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10078"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87</v>
      </c>
      <c r="E8" s="2297" t="s">
        <v>104</v>
      </c>
      <c r="F8" s="2362" t="s">
        <v>121</v>
      </c>
      <c r="G8" s="2363"/>
      <c r="H8" s="2362" t="s">
        <v>87</v>
      </c>
      <c r="I8" s="2363"/>
      <c r="J8" s="2297" t="s">
        <v>122</v>
      </c>
      <c r="K8" s="1726"/>
      <c r="L8" s="2366" t="s">
        <v>286</v>
      </c>
      <c r="M8" s="2366"/>
      <c r="N8" s="2366"/>
      <c r="O8" s="2366"/>
      <c r="P8" s="2366"/>
      <c r="Q8" s="1727"/>
      <c r="R8" s="2266" t="s">
        <v>287</v>
      </c>
      <c r="S8" s="2367"/>
      <c r="T8" s="2367"/>
      <c r="U8" s="2367"/>
      <c r="V8" s="2367"/>
      <c r="W8" s="1727"/>
      <c r="X8" s="2368" t="s">
        <v>288</v>
      </c>
      <c r="Y8" s="2368"/>
      <c r="Z8" s="2368"/>
      <c r="AA8" s="2368"/>
      <c r="AB8" s="2368"/>
      <c r="AC8" s="1728"/>
      <c r="AD8" s="2297" t="s">
        <v>289</v>
      </c>
      <c r="AE8" s="2297"/>
      <c r="AF8" s="2297"/>
      <c r="AG8" s="2297"/>
      <c r="AH8" s="2271"/>
      <c r="AI8" s="2297" t="s">
        <v>290</v>
      </c>
      <c r="AJ8" s="1744"/>
      <c r="BM8" s="463">
        <v>32</v>
      </c>
    </row>
    <row customHeight="1" ht="23.25">
      <c r="D9" s="2297"/>
      <c r="E9" s="2297"/>
      <c r="F9" s="2345" t="s">
        <v>88</v>
      </c>
      <c r="G9" s="2345" t="s">
        <v>127</v>
      </c>
      <c r="H9" s="2364"/>
      <c r="I9" s="2365"/>
      <c r="J9" s="2271"/>
      <c r="K9" s="1729"/>
      <c r="L9" s="2297" t="s">
        <v>291</v>
      </c>
      <c r="M9" s="2271"/>
      <c r="N9" s="2362" t="s">
        <v>87</v>
      </c>
      <c r="O9" s="2363"/>
      <c r="P9" s="2297" t="s">
        <v>128</v>
      </c>
      <c r="Q9" s="1726"/>
      <c r="R9" s="2297" t="s">
        <v>291</v>
      </c>
      <c r="S9" s="2271"/>
      <c r="T9" s="2362" t="s">
        <v>87</v>
      </c>
      <c r="U9" s="2363"/>
      <c r="V9" s="2297" t="s">
        <v>128</v>
      </c>
      <c r="W9" s="1726"/>
      <c r="X9" s="2297" t="s">
        <v>291</v>
      </c>
      <c r="Y9" s="2271"/>
      <c r="Z9" s="2362" t="s">
        <v>87</v>
      </c>
      <c r="AA9" s="2363"/>
      <c r="AB9" s="2297" t="s">
        <v>292</v>
      </c>
      <c r="AC9" s="1726"/>
      <c r="AD9" s="2297" t="s">
        <v>291</v>
      </c>
      <c r="AE9" s="2271"/>
      <c r="AF9" s="2362" t="s">
        <v>87</v>
      </c>
      <c r="AG9" s="2363"/>
      <c r="AH9" s="2271" t="s">
        <v>292</v>
      </c>
      <c r="AI9" s="2297"/>
      <c r="AJ9" s="1744"/>
      <c r="BM9" s="463">
        <v>22</v>
      </c>
    </row>
    <row customHeight="1" ht="24">
      <c r="D10" s="2345"/>
      <c r="E10" s="2345"/>
      <c r="F10" s="2369"/>
      <c r="G10" s="2369"/>
      <c r="H10" s="2370"/>
      <c r="I10" s="2371"/>
      <c r="J10" s="2362"/>
      <c r="K10" s="1729"/>
      <c r="L10" s="1748" t="s">
        <v>293</v>
      </c>
      <c r="M10" s="1743" t="s">
        <v>294</v>
      </c>
      <c r="N10" s="2364"/>
      <c r="O10" s="2365"/>
      <c r="P10" s="2345"/>
      <c r="Q10" s="1726"/>
      <c r="R10" s="1748" t="s">
        <v>293</v>
      </c>
      <c r="S10" s="1743" t="s">
        <v>294</v>
      </c>
      <c r="T10" s="2364"/>
      <c r="U10" s="2365"/>
      <c r="V10" s="2345"/>
      <c r="W10" s="1726"/>
      <c r="X10" s="1748" t="s">
        <v>293</v>
      </c>
      <c r="Y10" s="1743" t="s">
        <v>294</v>
      </c>
      <c r="Z10" s="2364"/>
      <c r="AA10" s="2365"/>
      <c r="AB10" s="2345"/>
      <c r="AC10" s="1726"/>
      <c r="AD10" s="1748" t="s">
        <v>293</v>
      </c>
      <c r="AE10" s="1743" t="s">
        <v>294</v>
      </c>
      <c r="AF10" s="2364"/>
      <c r="AG10" s="2365"/>
      <c r="AH10" s="2362"/>
      <c r="AI10" s="2345"/>
      <c r="AJ10" s="1744"/>
      <c r="AK10" s="424" t="s">
        <v>295</v>
      </c>
      <c r="AL10" s="424" t="s">
        <v>129</v>
      </c>
      <c r="BM10" s="463">
        <v>23</v>
      </c>
    </row>
    <row customHeight="1" ht="15">
      <c r="D11" s="2353" t="s">
        <v>108</v>
      </c>
      <c r="E11" s="2349" t="s">
        <v>296</v>
      </c>
      <c r="F11" s="2349" t="s">
        <v>297</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10082"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109</v>
      </c>
      <c r="E17" s="2349" t="s">
        <v>296</v>
      </c>
      <c r="F17" s="2349" t="s">
        <v>298</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10082"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89</v>
      </c>
      <c r="E23" s="2349" t="s">
        <v>296</v>
      </c>
      <c r="F23" s="2349" t="s">
        <v>299</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97</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10082"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90</v>
      </c>
      <c r="E29" s="2349" t="s">
        <v>296</v>
      </c>
      <c r="F29" s="2349" t="s">
        <v>300</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10082"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110</v>
      </c>
      <c r="E35" s="2349" t="s">
        <v>296</v>
      </c>
      <c r="F35" s="2349" t="s">
        <v>301</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10082"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81</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826C8-2D0F-E7D4-A416-8132098C0C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727" width="1.7109375" customWidth="1"/>
    <col min="2" max="2" style="9727" width="34.57421875" customWidth="1"/>
    <col min="3" max="3" style="9727" width="85.00390625" customWidth="1"/>
    <col min="4" max="4" style="9727" width="17.00390625" customWidth="1"/>
    <col min="5" max="5" style="9727" width="8.00390625" customWidth="1"/>
    <col min="6" max="6" style="9727" width="9.140625" hidden="1"/>
  </cols>
  <sheetData>
    <row customHeight="1" ht="3">
      <c r="F1" s="259" t="s">
        <v>14</v>
      </c>
    </row>
    <row customHeight="1" ht="22.5">
      <c r="B2" s="2783" t="s">
        <v>1912</v>
      </c>
      <c r="C2" s="2670"/>
      <c r="D2" s="2670"/>
      <c r="E2" s="438"/>
      <c r="F2" s="259">
        <v>22</v>
      </c>
    </row>
    <row customHeight="1" ht="3">
      <c r="F3" s="259">
        <v>3</v>
      </c>
    </row>
    <row customHeight="1" ht="23.25">
      <c r="B4" s="2784" t="s">
        <v>1913</v>
      </c>
      <c r="C4" s="553" t="s">
        <v>1914</v>
      </c>
      <c r="D4" s="553" t="s">
        <v>1915</v>
      </c>
      <c r="F4" s="259">
        <v>22</v>
      </c>
    </row>
    <row customHeight="1" ht="11.25" hidden="1">
      <c r="A5" s="259" t="s">
        <v>81</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54855-8307-6EF2-C702-9B1C2272C6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727" width="26.57421875" customWidth="1"/>
    <col min="2" max="2" style="9727" width="10.00390625" customWidth="1"/>
    <col min="3" max="3" style="9727" width="9.140625"/>
    <col min="4" max="4" style="9727" width="11.140625" customWidth="1"/>
    <col min="5" max="5" style="9727" width="16.57421875" customWidth="1"/>
    <col min="6" max="6" style="9727" width="16.28125" customWidth="1"/>
    <col min="7" max="7" style="9727" width="19.140625" customWidth="1"/>
    <col min="8" max="11" style="9727" width="10.00390625" customWidth="1"/>
    <col min="12" max="12" style="9727" width="12.7109375" customWidth="1"/>
    <col min="13" max="13" style="9727" width="61.28125" customWidth="1"/>
    <col min="14" max="14" style="9727" width="10.00390625" customWidth="1"/>
    <col min="15" max="17" style="9727" width="23.7109375" customWidth="1"/>
    <col min="18" max="18" style="9727" width="11.7109375" customWidth="1"/>
    <col min="19" max="19" style="9727" width="8.57421875" customWidth="1"/>
    <col min="20" max="20" style="9727" width="11.7109375" customWidth="1"/>
    <col min="21" max="21" style="9727" width="8.57421875" customWidth="1"/>
    <col min="22" max="22" style="9727" width="4.7109375" customWidth="1"/>
    <col min="23" max="23" style="9727" width="115.7109375" customWidth="1"/>
    <col min="24" max="24" style="9727" width="115.28125" customWidth="1"/>
    <col min="25" max="27" style="9727" width="9.140625"/>
    <col min="28" max="28" style="9727" width="115.7109375" customWidth="1"/>
    <col min="29" max="29" style="9727" width="9.140625"/>
    <col min="30" max="90" style="9727" width="115.7109375" customWidth="1"/>
    <col min="91" max="184" style="9727" width="9.140625"/>
  </cols>
  <sheetData>
    <row r="2" s="13021" customFormat="1" customHeight="1" ht="17.25">
      <c r="A2" s="1985" t="s">
        <v>1916</v>
      </c>
    </row>
    <row r="4" s="13007" customFormat="1" customHeight="1" ht="15">
      <c r="C4" s="1986"/>
      <c r="D4" s="283"/>
      <c r="E4" s="547"/>
    </row>
    <row r="6" s="13021" customFormat="1" customHeight="1" ht="17.25">
      <c r="A6" s="1985" t="s">
        <v>1917</v>
      </c>
    </row>
    <row r="8" s="13007" customFormat="1" customHeight="1" ht="17.25">
      <c r="C8" s="1987"/>
      <c r="D8" s="283"/>
      <c r="E8" s="284"/>
    </row>
    <row r="11" s="13021" customFormat="1" customHeight="1" ht="17.25">
      <c r="A11" s="1985" t="s">
        <v>1918</v>
      </c>
    </row>
    <row r="13" s="9682" customFormat="1" customHeight="1" ht="15">
      <c r="A13" s="2387">
        <v>1</v>
      </c>
      <c r="B13" s="1330"/>
      <c r="C13" s="971" t="s">
        <v>489</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9727"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9727" customFormat="1" customHeight="1" ht="15">
      <c r="A15" s="2387"/>
      <c r="B15" s="1330"/>
      <c r="C15" s="582"/>
      <c r="D15" s="971"/>
      <c r="E15" s="591"/>
      <c r="F15" s="347"/>
      <c r="G15" s="585" t="s">
        <v>101</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3021" customFormat="1" customHeight="1" ht="17.25">
      <c r="A17" s="1985" t="s">
        <v>1919</v>
      </c>
    </row>
    <row r="19" s="9727" customFormat="1" customHeight="1" ht="15">
      <c r="A19" s="2052"/>
      <c r="B19" s="1536">
        <v>1</v>
      </c>
      <c r="C19" s="1536"/>
      <c r="D19" s="970" t="s">
        <v>489</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9727" customFormat="1" customHeight="1" ht="15">
      <c r="A21" s="1985" t="s">
        <v>1920</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9727" customFormat="1" customHeight="1" ht="15">
      <c r="U22" s="355"/>
    </row>
    <row s="9793" customFormat="1" customHeight="1" ht="15">
      <c r="A23" s="593"/>
      <c r="B23" s="593"/>
      <c r="C23" s="1898" t="s">
        <v>489</v>
      </c>
      <c r="D23" s="2278" t="s">
        <v>108</v>
      </c>
      <c r="E23" s="2279"/>
      <c r="F23" s="2277" t="s">
        <v>19</v>
      </c>
      <c r="G23" s="2727"/>
      <c r="H23" s="2297">
        <v>1</v>
      </c>
      <c r="I23" s="2729" t="str">
        <f>IF(U23="","",INDEX(TERRITORY_MR_LIST,MATCH(U23,TERRITORY_LIST_ID,0)))</f>
        <v/>
      </c>
      <c r="J23" s="2277" t="s">
        <v>19</v>
      </c>
      <c r="K23" s="1002"/>
      <c r="L23" s="1952" t="s">
        <v>108</v>
      </c>
      <c r="M23" s="773"/>
      <c r="N23" s="774"/>
      <c r="O23" s="774"/>
      <c r="P23" s="774"/>
      <c r="Q23" s="774"/>
      <c r="R23" s="774"/>
      <c r="S23" s="774"/>
      <c r="T23" s="774"/>
      <c r="U23" s="775"/>
      <c r="V23" s="774"/>
      <c r="W23" s="774"/>
      <c r="X23" s="765"/>
      <c r="Y23" s="765" t="s">
        <v>117</v>
      </c>
      <c r="Z23" s="765">
        <v>1705000</v>
      </c>
      <c r="AA23" s="765"/>
      <c r="AB23" s="765"/>
      <c r="AC23" s="765"/>
      <c r="AD23" s="765"/>
      <c r="AE23" s="765"/>
      <c r="AF23" s="765"/>
      <c r="AG23" s="765"/>
      <c r="AH23" s="765"/>
      <c r="AI23" s="765"/>
      <c r="AJ23" s="765"/>
      <c r="AK23" s="765"/>
      <c r="AL23" s="765"/>
    </row>
    <row s="9793" customFormat="1" customHeight="1" ht="15">
      <c r="A24" s="593"/>
      <c r="B24" s="593"/>
      <c r="C24" s="346"/>
      <c r="D24" s="2278"/>
      <c r="E24" s="2280"/>
      <c r="F24" s="2277"/>
      <c r="G24" s="2728"/>
      <c r="H24" s="2297"/>
      <c r="I24" s="2730"/>
      <c r="J24" s="2277"/>
      <c r="K24" s="591"/>
      <c r="L24" s="347"/>
      <c r="M24" s="777" t="s">
        <v>118</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9793" customFormat="1" customHeight="1" ht="15">
      <c r="A25" s="593"/>
      <c r="B25" s="593"/>
      <c r="C25" s="346"/>
      <c r="D25" s="2278"/>
      <c r="E25" s="2281"/>
      <c r="F25" s="2277"/>
      <c r="G25" s="591"/>
      <c r="H25" s="347"/>
      <c r="I25" s="750" t="s">
        <v>119</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9727" customFormat="1" customHeight="1" ht="15">
      <c r="U26" s="355"/>
    </row>
    <row s="9727" customFormat="1" customHeight="1" ht="15">
      <c r="A27" s="1985" t="s">
        <v>1921</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9727" customFormat="1" customHeight="1" ht="15">
      <c r="U28" s="355"/>
    </row>
    <row s="9793" customFormat="1" customHeight="1" ht="15">
      <c r="A29" s="593"/>
      <c r="B29" s="593"/>
      <c r="C29" s="346"/>
      <c r="D29" s="1991"/>
      <c r="E29" s="1991"/>
      <c r="F29" s="1991"/>
      <c r="G29" s="2731" t="s">
        <v>489</v>
      </c>
      <c r="H29" s="2273">
        <v>1</v>
      </c>
      <c r="I29" s="2732" t="str">
        <f>IF(U29="","",INDEX(TERRITORY_MR_LIST,MATCH(U29,TERRITORY_LIST_ID,0)))</f>
        <v/>
      </c>
      <c r="J29" s="2277" t="s">
        <v>19</v>
      </c>
      <c r="K29" s="1002"/>
      <c r="L29" s="1952" t="s">
        <v>108</v>
      </c>
      <c r="M29" s="773"/>
      <c r="N29" s="774"/>
      <c r="O29" s="774"/>
      <c r="P29" s="774"/>
      <c r="Q29" s="774"/>
      <c r="R29" s="774"/>
      <c r="S29" s="774"/>
      <c r="T29" s="774"/>
      <c r="U29" s="775"/>
      <c r="V29" s="774"/>
      <c r="W29" s="774"/>
      <c r="X29" s="765"/>
      <c r="Y29" s="765" t="s">
        <v>117</v>
      </c>
      <c r="Z29" s="765">
        <v>1705000</v>
      </c>
      <c r="AA29" s="765"/>
      <c r="AB29" s="765"/>
      <c r="AC29" s="765"/>
      <c r="AD29" s="765"/>
      <c r="AE29" s="765"/>
      <c r="AF29" s="765"/>
      <c r="AG29" s="765"/>
      <c r="AH29" s="765"/>
      <c r="AI29" s="765"/>
      <c r="AJ29" s="765"/>
      <c r="AK29" s="765"/>
      <c r="AL29" s="765"/>
    </row>
    <row s="9793" customFormat="1" customHeight="1" ht="15">
      <c r="A30" s="593"/>
      <c r="B30" s="593"/>
      <c r="C30" s="346"/>
      <c r="D30" s="1991"/>
      <c r="E30" s="1991"/>
      <c r="F30" s="1991"/>
      <c r="G30" s="2731"/>
      <c r="H30" s="2273"/>
      <c r="I30" s="2732"/>
      <c r="J30" s="2277"/>
      <c r="K30" s="591"/>
      <c r="L30" s="347"/>
      <c r="M30" s="777" t="s">
        <v>118</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9727" customFormat="1" customHeight="1" ht="15">
      <c r="U31" s="355"/>
    </row>
    <row s="9727" customFormat="1" customHeight="1" ht="15">
      <c r="A32" s="1985" t="s">
        <v>1922</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9727" customFormat="1" customHeight="1" ht="15">
      <c r="U33" s="355"/>
    </row>
    <row s="9793" customFormat="1" customHeight="1" ht="15">
      <c r="A34" s="593"/>
      <c r="B34" s="593"/>
      <c r="C34" s="346"/>
      <c r="D34" s="1991"/>
      <c r="E34" s="1991"/>
      <c r="F34" s="1991"/>
      <c r="G34" s="1991"/>
      <c r="H34" s="1991"/>
      <c r="I34" s="1991"/>
      <c r="J34" s="1991"/>
      <c r="K34" s="1969" t="s">
        <v>489</v>
      </c>
      <c r="L34" s="1899" t="s">
        <v>108</v>
      </c>
      <c r="M34" s="981"/>
      <c r="N34" s="982"/>
      <c r="O34" s="774"/>
      <c r="P34" s="774"/>
      <c r="Q34" s="774"/>
      <c r="R34" s="774"/>
      <c r="S34" s="774"/>
      <c r="T34" s="774"/>
      <c r="U34" s="775"/>
      <c r="V34" s="774"/>
      <c r="W34" s="774"/>
      <c r="X34" s="765"/>
      <c r="Y34" s="765" t="s">
        <v>117</v>
      </c>
      <c r="Z34" s="765">
        <v>1705000</v>
      </c>
      <c r="AA34" s="765"/>
      <c r="AB34" s="765"/>
      <c r="AC34" s="765"/>
      <c r="AD34" s="765"/>
      <c r="AE34" s="765"/>
      <c r="AF34" s="765"/>
      <c r="AG34" s="765"/>
      <c r="AH34" s="765"/>
      <c r="AI34" s="765"/>
      <c r="AJ34" s="765"/>
      <c r="AK34" s="765"/>
      <c r="AL34" s="765"/>
    </row>
    <row s="9727" customFormat="1" customHeight="1" ht="15">
      <c r="U35" s="355"/>
    </row>
    <row s="9727" customFormat="1" customHeight="1" ht="15">
      <c r="U36" s="355"/>
    </row>
    <row s="13021" customFormat="1" customHeight="1" ht="11.25">
      <c r="A37" s="1985" t="s">
        <v>1923</v>
      </c>
    </row>
    <row customHeight="1" ht="11.25"/>
    <row s="10242" customFormat="1" customHeight="1" ht="22.5">
      <c r="A39" s="1961"/>
      <c r="B39" s="627"/>
      <c r="C39" s="1029"/>
      <c r="D39" s="610"/>
      <c r="E39" s="1030"/>
      <c r="F39" s="1982"/>
      <c r="G39" s="1992"/>
      <c r="H39" s="645"/>
    </row>
    <row customHeight="1" ht="11.25"/>
    <row s="13021" customFormat="1" customHeight="1" ht="11.25">
      <c r="A41" s="1985" t="s">
        <v>1924</v>
      </c>
    </row>
    <row customHeight="1" ht="11.25"/>
    <row s="10242" customFormat="1" customHeight="1" ht="22.5">
      <c r="A43" s="627"/>
      <c r="B43" s="627"/>
      <c r="C43" s="627"/>
      <c r="D43" s="610"/>
      <c r="E43" s="1030"/>
      <c r="F43" s="1031"/>
      <c r="G43" s="1992"/>
      <c r="H43" s="645"/>
    </row>
    <row customHeight="1" ht="11.25"/>
    <row s="13021" customFormat="1" customHeight="1" ht="11.25">
      <c r="A45" s="1985" t="s">
        <v>1925</v>
      </c>
    </row>
    <row customHeight="1" ht="11.25"/>
    <row s="10242" customFormat="1" customHeight="1" ht="24">
      <c r="A47" s="2372" t="s">
        <v>316</v>
      </c>
      <c r="B47" s="672"/>
      <c r="C47" s="2383"/>
      <c r="D47" s="615" t="str">
        <f>A47</f>
        <v>5.1</v>
      </c>
      <c r="E47" s="612" t="s">
        <v>317</v>
      </c>
      <c r="F47" s="2146" t="s">
        <v>309</v>
      </c>
      <c r="G47" s="614" t="s">
        <v>318</v>
      </c>
      <c r="H47" s="645"/>
      <c r="I47" s="1022"/>
    </row>
    <row s="10242" customFormat="1" customHeight="1" ht="22.5">
      <c r="A48" s="2372"/>
      <c r="B48" s="672"/>
      <c r="C48" s="2383"/>
      <c r="D48" s="610" t="str">
        <f>D47&amp;".1"</f>
        <v>5.1.1</v>
      </c>
      <c r="E48" s="609" t="s">
        <v>319</v>
      </c>
      <c r="F48" s="2147" t="s">
        <v>28</v>
      </c>
      <c r="G48" s="644"/>
      <c r="H48" s="645"/>
      <c r="I48" s="1022"/>
    </row>
    <row s="10242" customFormat="1" customHeight="1" ht="22.5">
      <c r="A49" s="2372"/>
      <c r="B49" s="672"/>
      <c r="C49" s="2383"/>
      <c r="D49" s="610" t="str">
        <f>D47&amp;".2"</f>
        <v>5.1.2</v>
      </c>
      <c r="E49" s="609" t="s">
        <v>320</v>
      </c>
      <c r="F49" s="1902" t="s">
        <v>28</v>
      </c>
      <c r="G49" s="614" t="s">
        <v>321</v>
      </c>
      <c r="H49" s="645"/>
      <c r="I49" s="1022"/>
    </row>
    <row s="10242" customFormat="1" customHeight="1" ht="22.5">
      <c r="A50" s="2372"/>
      <c r="B50" s="672"/>
      <c r="C50" s="2383"/>
      <c r="D50" s="610" t="str">
        <f>D47&amp;".3"</f>
        <v>5.1.3</v>
      </c>
      <c r="E50" s="609" t="s">
        <v>322</v>
      </c>
      <c r="F50" s="2147" t="s">
        <v>28</v>
      </c>
      <c r="G50" s="644"/>
      <c r="H50" s="645"/>
      <c r="I50" s="1022"/>
    </row>
    <row s="10242" customFormat="1" customHeight="1" ht="22.5">
      <c r="A51" s="2372"/>
      <c r="B51" s="672"/>
      <c r="C51" s="2383"/>
      <c r="D51" s="610" t="str">
        <f>D47&amp;".4"</f>
        <v>5.1.4</v>
      </c>
      <c r="E51" s="609" t="s">
        <v>323</v>
      </c>
      <c r="F51" s="2147" t="s">
        <v>28</v>
      </c>
      <c r="G51" s="614" t="s">
        <v>324</v>
      </c>
      <c r="H51" s="645"/>
      <c r="I51" s="1022"/>
    </row>
    <row r="54" s="13021" customFormat="1" customHeight="1" ht="17.25">
      <c r="A54" s="1985" t="s">
        <v>1926</v>
      </c>
    </row>
    <row r="56" s="9564" customFormat="1" customHeight="1" ht="18.75">
      <c r="A56" s="259"/>
      <c r="B56" s="1993"/>
      <c r="C56" s="1993"/>
      <c r="D56" s="1994"/>
      <c r="E56" s="1979"/>
      <c r="F56" s="1038">
        <v>13</v>
      </c>
      <c r="G56" s="1037"/>
      <c r="H56" s="963"/>
      <c r="I56" s="961"/>
      <c r="J56" s="690" t="s">
        <v>65</v>
      </c>
      <c r="K56" s="1995" t="s">
        <v>28</v>
      </c>
      <c r="L56" s="259"/>
      <c r="M56" s="1806"/>
      <c r="N56" s="1806"/>
      <c r="O56" s="1806"/>
      <c r="P56" s="686" t="s">
        <v>395</v>
      </c>
      <c r="Q56" s="686" t="s">
        <v>396</v>
      </c>
      <c r="R56" s="687" t="s">
        <v>397</v>
      </c>
      <c r="S56" s="1806" t="s">
        <v>398</v>
      </c>
      <c r="T56" s="1806"/>
      <c r="U56" s="1806"/>
      <c r="V56" s="1806"/>
    </row>
    <row r="58" s="13021" customFormat="1" customHeight="1" ht="11.25">
      <c r="A58" s="1985" t="s">
        <v>1927</v>
      </c>
    </row>
    <row r="60" s="9589"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384</v>
      </c>
      <c r="AQ60" s="1794" t="s">
        <v>384</v>
      </c>
      <c r="AR60" s="1806"/>
      <c r="AS60" s="1806"/>
    </row>
    <row r="62" s="13021" customFormat="1" customHeight="1" ht="11.25">
      <c r="A62" s="1985" t="s">
        <v>1928</v>
      </c>
    </row>
    <row r="64" s="12690" customFormat="1" customHeight="1" ht="15">
      <c r="A64" s="315" t="s">
        <v>89</v>
      </c>
      <c r="B64" s="295" t="s">
        <v>28</v>
      </c>
      <c r="C64" s="1996"/>
      <c r="D64" s="298"/>
      <c r="E64" s="551"/>
      <c r="F64" s="551"/>
      <c r="G64" s="1973"/>
      <c r="H64" s="1995"/>
      <c r="I64" s="1974"/>
      <c r="K64" s="442"/>
      <c r="L64" s="443"/>
    </row>
    <row r="66" s="13021" customFormat="1" customHeight="1" ht="11.25">
      <c r="A66" s="1985" t="s">
        <v>1929</v>
      </c>
    </row>
    <row r="68" s="9589" customFormat="1" customHeight="1" ht="14.25">
      <c r="A68" s="513"/>
      <c r="B68" s="1330"/>
      <c r="C68" s="546"/>
      <c r="D68" s="1980"/>
      <c r="E68" s="1056"/>
      <c r="F68" s="1995"/>
      <c r="G68" s="259"/>
      <c r="I68" s="1794"/>
      <c r="J68" s="1794"/>
    </row>
    <row r="70" s="13021" customFormat="1" customHeight="1" ht="11.25">
      <c r="A70" s="1985" t="s">
        <v>1930</v>
      </c>
    </row>
    <row r="72" s="9589" customFormat="1" customHeight="1" ht="27">
      <c r="A72" s="1336"/>
      <c r="B72" s="1336"/>
      <c r="C72" s="1336"/>
      <c r="D72" s="1330"/>
      <c r="E72" s="1997"/>
      <c r="F72" s="2751"/>
      <c r="G72" s="2752"/>
      <c r="H72" s="2753" t="s">
        <v>65</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65</v>
      </c>
      <c r="Z72" s="1978"/>
      <c r="AA72" s="1962">
        <v>1</v>
      </c>
      <c r="AB72" s="1412"/>
      <c r="AD72" s="1806" t="s">
        <v>1931</v>
      </c>
    </row>
    <row s="9589"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1932</v>
      </c>
    </row>
    <row r="75" s="13021" customFormat="1" customHeight="1" ht="11.25">
      <c r="A75" s="1985" t="s">
        <v>1933</v>
      </c>
    </row>
    <row r="77" s="9589"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1931</v>
      </c>
    </row>
    <row r="79" s="13021" customFormat="1" customHeight="1" ht="11.25">
      <c r="A79" s="1985" t="s">
        <v>1934</v>
      </c>
    </row>
    <row customHeight="1" ht="17.25"/>
    <row s="9589"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9589" customFormat="1" customHeight="1" ht="0.75">
      <c r="A82" s="1336"/>
      <c r="B82" s="1336"/>
      <c r="C82" s="1336"/>
      <c r="D82" s="1330"/>
      <c r="E82" s="1340"/>
      <c r="F82" s="2706"/>
      <c r="G82" s="2685"/>
      <c r="H82" s="2710" t="s">
        <v>379</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9589"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9589"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9589"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9589"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9589" customFormat="1" customHeight="1" ht="12">
      <c r="A87" s="1336"/>
      <c r="B87" s="1336"/>
      <c r="C87" s="1336"/>
      <c r="D87" s="1330"/>
      <c r="E87" s="1340"/>
      <c r="F87" s="2707"/>
      <c r="G87" s="1360"/>
      <c r="H87" s="1360"/>
      <c r="I87" s="2705" t="s">
        <v>1935</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3021" customFormat="1" customHeight="1" ht="11.25">
      <c r="A89" s="1985" t="s">
        <v>1936</v>
      </c>
    </row>
    <row r="91" s="9589"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9589"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9589"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1937</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3021" customFormat="1" customHeight="1" ht="11.25">
      <c r="A95" s="1985" t="s">
        <v>1938</v>
      </c>
    </row>
    <row r="97" s="9589"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3021" customFormat="1" customHeight="1" ht="11.25">
      <c r="A99" s="1985" t="s">
        <v>1939</v>
      </c>
    </row>
    <row r="101" s="9589" customFormat="1" customHeight="1" ht="11.25">
      <c r="A101" s="1336"/>
      <c r="B101" s="1336"/>
      <c r="C101" s="1336"/>
      <c r="D101" s="1330"/>
      <c r="E101" s="1340"/>
      <c r="F101" s="1999"/>
      <c r="G101" s="2000"/>
      <c r="H101" s="2685" t="s">
        <v>108</v>
      </c>
      <c r="I101" s="2686"/>
      <c r="J101" s="2655"/>
      <c r="K101" s="2687"/>
      <c r="L101" s="2277" t="s">
        <v>19</v>
      </c>
      <c r="M101" s="2278"/>
      <c r="N101" s="2156"/>
      <c r="O101" s="1347" t="s">
        <v>379</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9589"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9589"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9589"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1937</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9589" customFormat="1" customHeight="1" ht="11.25">
      <c r="A105" s="1336"/>
      <c r="B105" s="1336"/>
      <c r="C105" s="1336"/>
      <c r="D105" s="1330"/>
      <c r="E105" s="1340"/>
      <c r="F105" s="1999"/>
      <c r="G105" s="2000"/>
      <c r="H105" s="2685"/>
      <c r="I105" s="2686"/>
      <c r="J105" s="2655"/>
      <c r="K105" s="2687"/>
      <c r="L105" s="2277"/>
      <c r="M105" s="2278"/>
      <c r="N105" s="1345"/>
      <c r="O105" s="1346"/>
      <c r="P105" s="1338" t="s">
        <v>1940</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3021" customFormat="1" customHeight="1" ht="11.25">
      <c r="A107" s="1985" t="s">
        <v>1941</v>
      </c>
    </row>
    <row customHeight="1" ht="17.25"/>
    <row s="12537"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2537"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2537" customFormat="1" customHeight="1" ht="12">
      <c r="A111" s="1094"/>
      <c r="B111" s="1093"/>
      <c r="C111" s="1094"/>
      <c r="D111" s="1094"/>
      <c r="E111" s="1094"/>
      <c r="F111" s="1383"/>
      <c r="G111" s="1970" t="s">
        <v>1942</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3021" customFormat="1" customHeight="1" ht="11.25">
      <c r="A113" s="1985" t="s">
        <v>1943</v>
      </c>
    </row>
    <row r="115" s="9727" customFormat="1" customHeight="1" ht="15">
      <c r="A115" s="793"/>
      <c r="B115" s="794"/>
      <c r="C115" s="794"/>
      <c r="D115" s="2748" t="s">
        <v>108</v>
      </c>
      <c r="E115" s="2547" t="s">
        <v>104</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621</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9727" customFormat="1" customHeight="1" ht="15">
      <c r="A116" s="793"/>
      <c r="B116" s="794"/>
      <c r="C116" s="794"/>
      <c r="D116" s="2749"/>
      <c r="E116" s="2547" t="s">
        <v>576</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9727" customFormat="1" customHeight="1" ht="15">
      <c r="A117" s="793"/>
      <c r="B117" s="794"/>
      <c r="C117" s="794"/>
      <c r="D117" s="2749"/>
      <c r="E117" s="2547" t="s">
        <v>577</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9727" customFormat="1" customHeight="1" ht="24.75">
      <c r="A118" s="1976"/>
      <c r="B118" s="1330"/>
      <c r="C118" s="582"/>
      <c r="D118" s="2749"/>
      <c r="E118" s="2546" t="s">
        <v>622</v>
      </c>
      <c r="F118" s="2546"/>
      <c r="G118" s="2546"/>
      <c r="H118" s="2546"/>
      <c r="I118" s="2546"/>
      <c r="J118" s="2546"/>
      <c r="K118" s="2546"/>
      <c r="L118" s="2546"/>
      <c r="M118" s="2546"/>
      <c r="N118" s="2546"/>
      <c r="O118" s="2546"/>
      <c r="P118" s="2546"/>
      <c r="Q118" s="728">
        <f>SUMIF(T119:T120,"i",Q119:Q120)</f>
        <v>0</v>
      </c>
      <c r="R118" s="1187"/>
      <c r="S118" s="1968" t="s">
        <v>623</v>
      </c>
      <c r="T118" s="887" t="s">
        <v>624</v>
      </c>
      <c r="U118" s="2544">
        <v>1</v>
      </c>
      <c r="V118" s="2544" t="s">
        <v>587</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9727"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9727" customFormat="1" customHeight="1" ht="11.25">
      <c r="A120" s="1976"/>
      <c r="B120" s="1330"/>
      <c r="C120" s="582"/>
      <c r="D120" s="2749"/>
      <c r="E120" s="819" t="s">
        <v>28</v>
      </c>
      <c r="F120" s="1338" t="s">
        <v>28</v>
      </c>
      <c r="G120" s="1338" t="s">
        <v>1944</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9727" customFormat="1" customHeight="1" ht="24.75">
      <c r="A121" s="1976"/>
      <c r="B121" s="1330"/>
      <c r="C121" s="582"/>
      <c r="D121" s="2749"/>
      <c r="E121" s="2546" t="s">
        <v>625</v>
      </c>
      <c r="F121" s="2546"/>
      <c r="G121" s="2546"/>
      <c r="H121" s="2546"/>
      <c r="I121" s="2546"/>
      <c r="J121" s="2546"/>
      <c r="K121" s="2546"/>
      <c r="L121" s="2546"/>
      <c r="M121" s="2546"/>
      <c r="N121" s="2546"/>
      <c r="O121" s="2546"/>
      <c r="P121" s="2546"/>
      <c r="Q121" s="728">
        <f>SUMIF(T122:T123,"i",Q122:Q123)</f>
        <v>0</v>
      </c>
      <c r="R121" s="1187"/>
      <c r="S121" s="1968" t="s">
        <v>626</v>
      </c>
      <c r="T121" s="887" t="s">
        <v>624</v>
      </c>
      <c r="U121" s="2544">
        <v>1</v>
      </c>
      <c r="V121" s="2544" t="s">
        <v>587</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9727"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9727" customFormat="1" customHeight="1" ht="11.25">
      <c r="A123" s="1976"/>
      <c r="B123" s="1330"/>
      <c r="C123" s="582"/>
      <c r="D123" s="2750"/>
      <c r="E123" s="819" t="s">
        <v>28</v>
      </c>
      <c r="F123" s="1338" t="s">
        <v>28</v>
      </c>
      <c r="G123" s="1338" t="s">
        <v>1944</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3021" customFormat="1" customHeight="1" ht="11.25">
      <c r="A125" s="1985" t="s">
        <v>1945</v>
      </c>
    </row>
    <row r="127" s="9727" customFormat="1" customHeight="1" ht="15">
      <c r="A127" s="793"/>
      <c r="B127" s="794"/>
      <c r="C127" s="794"/>
      <c r="D127" s="2748" t="s">
        <v>108</v>
      </c>
      <c r="E127" s="2547" t="s">
        <v>104</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621</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9727" customFormat="1" customHeight="1" ht="15">
      <c r="A128" s="793"/>
      <c r="B128" s="794"/>
      <c r="C128" s="794"/>
      <c r="D128" s="2749"/>
      <c r="E128" s="2547" t="s">
        <v>576</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9727" customFormat="1" customHeight="1" ht="15">
      <c r="A129" s="793"/>
      <c r="B129" s="794"/>
      <c r="C129" s="794"/>
      <c r="D129" s="2749"/>
      <c r="E129" s="2547" t="s">
        <v>577</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9727" customFormat="1" customHeight="1" ht="24.75">
      <c r="A130" s="1976"/>
      <c r="B130" s="1330"/>
      <c r="C130" s="582"/>
      <c r="D130" s="2749"/>
      <c r="E130" s="2546" t="s">
        <v>622</v>
      </c>
      <c r="F130" s="2546"/>
      <c r="G130" s="2546"/>
      <c r="H130" s="2546"/>
      <c r="I130" s="2546"/>
      <c r="J130" s="2546"/>
      <c r="K130" s="2546"/>
      <c r="L130" s="2546"/>
      <c r="M130" s="2546"/>
      <c r="N130" s="2546"/>
      <c r="O130" s="2546"/>
      <c r="P130" s="2546"/>
      <c r="Q130" s="728">
        <f>SUMIF(T131:T132,"i",Q131:Q132)</f>
        <v>0</v>
      </c>
      <c r="R130" s="1187"/>
      <c r="S130" s="1968" t="s">
        <v>623</v>
      </c>
      <c r="T130" s="887" t="s">
        <v>624</v>
      </c>
      <c r="U130" s="2544">
        <v>1</v>
      </c>
      <c r="V130" s="2544" t="s">
        <v>587</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9727"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9727" customFormat="1" customHeight="1" ht="11.25">
      <c r="A132" s="1976"/>
      <c r="B132" s="1330"/>
      <c r="C132" s="582"/>
      <c r="D132" s="2749"/>
      <c r="E132" s="819" t="s">
        <v>28</v>
      </c>
      <c r="F132" s="1338" t="s">
        <v>28</v>
      </c>
      <c r="G132" s="1338" t="s">
        <v>1944</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10078"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624</v>
      </c>
      <c r="U133" s="2544">
        <v>1</v>
      </c>
      <c r="V133" s="2544" t="s">
        <v>587</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10078"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10078"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3021" customFormat="1" customHeight="1" ht="11.25">
      <c r="A137" s="1985" t="s">
        <v>1946</v>
      </c>
    </row>
    <row r="139" s="9727" customFormat="1" customHeight="1" ht="45">
      <c r="A139" s="1976"/>
      <c r="B139" s="1330"/>
      <c r="C139" s="582"/>
      <c r="D139" s="259"/>
      <c r="E139" s="2742"/>
      <c r="F139" s="2278" t="s">
        <v>108</v>
      </c>
      <c r="G139" s="2745" t="s">
        <v>28</v>
      </c>
      <c r="H139" s="459"/>
      <c r="I139" s="807" t="s">
        <v>108</v>
      </c>
      <c r="J139" s="1977" t="s">
        <v>1947</v>
      </c>
      <c r="K139" s="808" t="s">
        <v>558</v>
      </c>
      <c r="L139" s="2394" t="s">
        <v>558</v>
      </c>
      <c r="M139" s="2747"/>
      <c r="N139" s="808" t="s">
        <v>558</v>
      </c>
      <c r="O139" s="808" t="s">
        <v>558</v>
      </c>
      <c r="P139" s="808" t="s">
        <v>558</v>
      </c>
      <c r="Q139" s="809">
        <f>SUM(Q140:Q142)</f>
        <v>0</v>
      </c>
      <c r="R139" s="809">
        <f>IF(R136=0,0,(Q136/R136)*100)</f>
        <v>0</v>
      </c>
      <c r="S139" s="2349"/>
      <c r="T139" s="887" t="s">
        <v>624</v>
      </c>
      <c r="U139" s="259"/>
      <c r="V139" s="259"/>
      <c r="AC139" s="259"/>
    </row>
    <row s="9727" customFormat="1" customHeight="1" ht="11.25">
      <c r="A140" s="1976"/>
      <c r="B140" s="1330"/>
      <c r="C140" s="582"/>
      <c r="D140" s="259"/>
      <c r="E140" s="2743"/>
      <c r="F140" s="2278"/>
      <c r="G140" s="2745"/>
      <c r="H140" s="2297"/>
      <c r="I140" s="2685" t="s">
        <v>1033</v>
      </c>
      <c r="J140" s="2739"/>
      <c r="K140" s="2740"/>
      <c r="L140" s="810"/>
      <c r="M140" s="811" t="s">
        <v>108</v>
      </c>
      <c r="N140" s="1965"/>
      <c r="O140" s="812"/>
      <c r="P140" s="813"/>
      <c r="Q140" s="812"/>
      <c r="R140" s="814">
        <v>0</v>
      </c>
      <c r="S140" s="2349"/>
      <c r="T140" s="887"/>
      <c r="U140" s="259"/>
      <c r="V140" s="259"/>
      <c r="AC140" s="259"/>
    </row>
    <row s="9727" customFormat="1" customHeight="1" ht="11.25">
      <c r="A141" s="1976"/>
      <c r="B141" s="1330"/>
      <c r="C141" s="582"/>
      <c r="D141" s="259"/>
      <c r="E141" s="2743"/>
      <c r="F141" s="2278"/>
      <c r="G141" s="2745"/>
      <c r="H141" s="2297"/>
      <c r="I141" s="2685"/>
      <c r="J141" s="2739"/>
      <c r="K141" s="2741"/>
      <c r="L141" s="815"/>
      <c r="M141" s="816"/>
      <c r="N141" s="817" t="s">
        <v>1948</v>
      </c>
      <c r="O141" s="817"/>
      <c r="P141" s="817"/>
      <c r="Q141" s="817"/>
      <c r="R141" s="818"/>
      <c r="S141" s="2349"/>
      <c r="T141" s="887"/>
      <c r="U141" s="259"/>
      <c r="V141" s="259"/>
      <c r="AC141" s="259"/>
    </row>
    <row s="9727" customFormat="1" customHeight="1" ht="11.25">
      <c r="A142" s="1976"/>
      <c r="B142" s="1330"/>
      <c r="C142" s="582"/>
      <c r="D142" s="259"/>
      <c r="E142" s="2744"/>
      <c r="F142" s="2278"/>
      <c r="G142" s="2746"/>
      <c r="H142" s="815" t="s">
        <v>28</v>
      </c>
      <c r="I142" s="816"/>
      <c r="J142" s="817" t="s">
        <v>1949</v>
      </c>
      <c r="K142" s="817"/>
      <c r="L142" s="817"/>
      <c r="M142" s="817"/>
      <c r="N142" s="817"/>
      <c r="O142" s="817"/>
      <c r="P142" s="817"/>
      <c r="Q142" s="817"/>
      <c r="R142" s="818"/>
      <c r="S142" s="2349"/>
      <c r="T142" s="887"/>
      <c r="U142" s="259"/>
      <c r="V142" s="259"/>
      <c r="AC142" s="259"/>
    </row>
    <row r="147" s="9727" customFormat="1" customHeight="1" ht="11.25">
      <c r="A147" s="1976"/>
      <c r="B147" s="1330"/>
      <c r="C147" s="582"/>
      <c r="D147" s="259"/>
      <c r="E147" s="2000"/>
      <c r="F147" s="2000"/>
      <c r="G147" s="2000"/>
      <c r="H147" s="2297"/>
      <c r="I147" s="2685" t="s">
        <v>1033</v>
      </c>
      <c r="J147" s="2739"/>
      <c r="K147" s="2740"/>
      <c r="L147" s="810"/>
      <c r="M147" s="811" t="s">
        <v>108</v>
      </c>
      <c r="N147" s="1965"/>
      <c r="O147" s="812"/>
      <c r="P147" s="813"/>
      <c r="Q147" s="812"/>
      <c r="R147" s="814">
        <v>0</v>
      </c>
      <c r="S147" s="259"/>
      <c r="T147" s="887"/>
      <c r="U147" s="259"/>
      <c r="V147" s="259"/>
      <c r="AC147" s="259"/>
    </row>
    <row s="9727" customFormat="1" customHeight="1" ht="11.25">
      <c r="A148" s="1976"/>
      <c r="B148" s="1330"/>
      <c r="C148" s="582"/>
      <c r="D148" s="259"/>
      <c r="E148" s="2000"/>
      <c r="F148" s="2000"/>
      <c r="G148" s="2000"/>
      <c r="H148" s="2297"/>
      <c r="I148" s="2685"/>
      <c r="J148" s="2739"/>
      <c r="K148" s="2741"/>
      <c r="L148" s="815"/>
      <c r="M148" s="816"/>
      <c r="N148" s="817" t="s">
        <v>1948</v>
      </c>
      <c r="O148" s="817"/>
      <c r="P148" s="817"/>
      <c r="Q148" s="817"/>
      <c r="R148" s="818"/>
      <c r="S148" s="259"/>
      <c r="T148" s="887"/>
      <c r="U148" s="259"/>
      <c r="V148" s="259"/>
      <c r="AC148" s="259"/>
    </row>
    <row r="150" s="9727" customFormat="1" customHeight="1" ht="11.25">
      <c r="A150" s="1976"/>
      <c r="B150" s="1330"/>
      <c r="C150" s="582"/>
      <c r="D150" s="259"/>
      <c r="E150" s="2007"/>
      <c r="F150" s="2005"/>
      <c r="G150" s="2005"/>
      <c r="H150" s="2008"/>
      <c r="I150" s="2000"/>
      <c r="J150" s="2001"/>
      <c r="K150" s="2001"/>
      <c r="L150" s="810"/>
      <c r="M150" s="811" t="s">
        <v>108</v>
      </c>
      <c r="N150" s="1965"/>
      <c r="O150" s="812"/>
      <c r="P150" s="813"/>
      <c r="Q150" s="812"/>
      <c r="R150" s="814">
        <v>0</v>
      </c>
      <c r="S150" s="259"/>
      <c r="T150" s="887"/>
      <c r="U150" s="259"/>
      <c r="V150" s="259"/>
      <c r="AC150" s="259"/>
    </row>
    <row r="152" s="13021" customFormat="1" customHeight="1" ht="17.25">
      <c r="A152" s="1985" t="s">
        <v>1950</v>
      </c>
    </row>
    <row customHeight="1" ht="17.25">
      <c r="G153" s="2009"/>
      <c r="H153" s="2009"/>
      <c r="I153" s="2009"/>
      <c r="M153" s="2005"/>
    </row>
    <row s="9793" customFormat="1" customHeight="1" ht="17.25">
      <c r="A154" s="2010"/>
      <c r="C154" s="2012"/>
      <c r="D154" s="2699"/>
      <c r="E154" s="2313"/>
      <c r="F154" s="2315"/>
      <c r="G154" s="2701"/>
      <c r="H154" s="2699"/>
      <c r="I154" s="2699">
        <v>1</v>
      </c>
      <c r="J154" s="2671"/>
      <c r="K154" s="2355" t="s">
        <v>65</v>
      </c>
      <c r="L154" s="2278"/>
      <c r="M154" s="2278" t="s">
        <v>108</v>
      </c>
      <c r="N154" s="2674" t="str">
        <f>IF(Z154="","",INDEX(TERRITORY_MR_LIST,MATCH(Z154,TERRITORY_LIST_ID,0)))</f>
        <v/>
      </c>
      <c r="O154" s="2355" t="s">
        <v>65</v>
      </c>
      <c r="P154" s="2278"/>
      <c r="Q154" s="2278" t="s">
        <v>108</v>
      </c>
      <c r="R154" s="2672" t="s">
        <v>28</v>
      </c>
      <c r="S154" s="2277" t="s">
        <v>65</v>
      </c>
      <c r="T154" s="1981"/>
      <c r="U154" s="1981" t="s">
        <v>108</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9793"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417</v>
      </c>
      <c r="W155" s="489"/>
      <c r="Y155" s="1429"/>
      <c r="Z155" s="1429"/>
      <c r="AA155" s="1429"/>
      <c r="AB155" s="1429"/>
      <c r="AC155" s="1429"/>
      <c r="AD155" s="1429"/>
      <c r="AE155" s="1429"/>
      <c r="AF155" s="1429"/>
      <c r="AG155" s="1429"/>
      <c r="AH155" s="1429"/>
      <c r="AI155" s="1429"/>
      <c r="AJ155" s="1429"/>
      <c r="AK155" s="1429"/>
    </row>
    <row s="9793" customFormat="1" customHeight="1" ht="17.25">
      <c r="A156" s="2010"/>
      <c r="C156" s="2015"/>
      <c r="D156" s="2673"/>
      <c r="E156" s="2700"/>
      <c r="F156" s="2316"/>
      <c r="G156" s="2702"/>
      <c r="H156" s="2673"/>
      <c r="I156" s="2673"/>
      <c r="J156" s="2703"/>
      <c r="K156" s="2356"/>
      <c r="L156" s="2673"/>
      <c r="M156" s="2673"/>
      <c r="N156" s="2675"/>
      <c r="O156" s="2282"/>
      <c r="P156" s="487"/>
      <c r="Q156" s="488"/>
      <c r="R156" s="488" t="s">
        <v>228</v>
      </c>
      <c r="S156" s="2016"/>
      <c r="T156" s="2016"/>
      <c r="U156" s="2016"/>
      <c r="V156" s="2016"/>
      <c r="W156" s="489"/>
      <c r="Y156" s="1429"/>
      <c r="Z156" s="1429"/>
      <c r="AA156" s="1429"/>
      <c r="AB156" s="1429"/>
      <c r="AC156" s="1429"/>
      <c r="AD156" s="1429"/>
      <c r="AE156" s="1429"/>
      <c r="AF156" s="1429"/>
      <c r="AG156" s="1429"/>
      <c r="AH156" s="1429"/>
      <c r="AI156" s="1429"/>
      <c r="AJ156" s="1429"/>
      <c r="AK156" s="1429"/>
    </row>
    <row s="9793" customFormat="1" customHeight="1" ht="17.25">
      <c r="A157" s="2010"/>
      <c r="C157" s="2015"/>
      <c r="D157" s="2673"/>
      <c r="E157" s="2700"/>
      <c r="F157" s="2316"/>
      <c r="G157" s="2702"/>
      <c r="H157" s="2673"/>
      <c r="I157" s="2673"/>
      <c r="J157" s="2703"/>
      <c r="K157" s="2282"/>
      <c r="L157" s="487"/>
      <c r="M157" s="488"/>
      <c r="N157" s="488" t="s">
        <v>229</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9793" customFormat="1" customHeight="1" ht="17.25">
      <c r="A158" s="2010"/>
      <c r="C158" s="2015"/>
      <c r="D158" s="2673"/>
      <c r="E158" s="2700"/>
      <c r="F158" s="2317"/>
      <c r="G158" s="2702"/>
      <c r="H158" s="487"/>
      <c r="I158" s="488"/>
      <c r="J158" s="488" t="s">
        <v>230</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9793" customFormat="1" customHeight="1" ht="17.25">
      <c r="A160" s="2010"/>
      <c r="C160" s="2012"/>
      <c r="D160" s="2000"/>
      <c r="E160" s="2017"/>
      <c r="F160" s="1954"/>
      <c r="G160" s="2018"/>
      <c r="H160" s="2699"/>
      <c r="I160" s="2699">
        <v>1</v>
      </c>
      <c r="J160" s="2671"/>
      <c r="K160" s="2355" t="s">
        <v>65</v>
      </c>
      <c r="L160" s="2278"/>
      <c r="M160" s="2278" t="s">
        <v>108</v>
      </c>
      <c r="N160" s="2674" t="str">
        <f>IF(Z160="","",INDEX(TERRITORY_MR_LIST,MATCH(Z160,TERRITORY_LIST_ID,0)))</f>
        <v/>
      </c>
      <c r="O160" s="2355" t="s">
        <v>65</v>
      </c>
      <c r="P160" s="2278"/>
      <c r="Q160" s="2278" t="s">
        <v>108</v>
      </c>
      <c r="R160" s="2672" t="s">
        <v>28</v>
      </c>
      <c r="S160" s="2277" t="s">
        <v>65</v>
      </c>
      <c r="T160" s="1981"/>
      <c r="U160" s="1981" t="s">
        <v>108</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9793"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417</v>
      </c>
      <c r="W161" s="489"/>
      <c r="Y161" s="1429"/>
      <c r="Z161" s="1429"/>
      <c r="AA161" s="1429"/>
      <c r="AB161" s="1429"/>
      <c r="AC161" s="1429"/>
      <c r="AD161" s="1429"/>
      <c r="AE161" s="1429"/>
      <c r="AF161" s="1429"/>
      <c r="AG161" s="1429"/>
      <c r="AH161" s="1429"/>
      <c r="AI161" s="1429"/>
      <c r="AJ161" s="1429"/>
      <c r="AK161" s="1429"/>
    </row>
    <row s="9793" customFormat="1" customHeight="1" ht="17.25">
      <c r="A162" s="2010"/>
      <c r="C162" s="2015"/>
      <c r="D162" s="2000"/>
      <c r="E162" s="2017"/>
      <c r="F162" s="1954"/>
      <c r="G162" s="2018"/>
      <c r="H162" s="2673"/>
      <c r="I162" s="2673"/>
      <c r="J162" s="2703"/>
      <c r="K162" s="2356"/>
      <c r="L162" s="2673"/>
      <c r="M162" s="2673"/>
      <c r="N162" s="2675"/>
      <c r="O162" s="2282"/>
      <c r="P162" s="487"/>
      <c r="Q162" s="488"/>
      <c r="R162" s="488" t="s">
        <v>228</v>
      </c>
      <c r="S162" s="2016"/>
      <c r="T162" s="2016"/>
      <c r="U162" s="2016"/>
      <c r="V162" s="2016"/>
      <c r="W162" s="489"/>
      <c r="Y162" s="1429"/>
      <c r="Z162" s="1429"/>
      <c r="AA162" s="1429"/>
      <c r="AB162" s="1429"/>
      <c r="AC162" s="1429"/>
      <c r="AD162" s="1429"/>
      <c r="AE162" s="1429"/>
      <c r="AF162" s="1429"/>
      <c r="AG162" s="1429"/>
      <c r="AH162" s="1429"/>
      <c r="AI162" s="1429"/>
      <c r="AJ162" s="1429"/>
      <c r="AK162" s="1429"/>
    </row>
    <row s="9793" customFormat="1" customHeight="1" ht="17.25">
      <c r="A163" s="2010"/>
      <c r="C163" s="2015"/>
      <c r="D163" s="2000"/>
      <c r="E163" s="2017"/>
      <c r="F163" s="1954"/>
      <c r="G163" s="2018"/>
      <c r="H163" s="2673"/>
      <c r="I163" s="2673"/>
      <c r="J163" s="2703"/>
      <c r="K163" s="2282"/>
      <c r="L163" s="487"/>
      <c r="M163" s="488"/>
      <c r="N163" s="488" t="s">
        <v>229</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9793" customFormat="1" customHeight="1" ht="17.25">
      <c r="A165" s="2010"/>
      <c r="C165" s="2012"/>
      <c r="D165" s="2000"/>
      <c r="E165" s="2017"/>
      <c r="F165" s="1954"/>
      <c r="G165" s="2018"/>
      <c r="H165" s="2000"/>
      <c r="I165" s="2000"/>
      <c r="J165" s="2019"/>
      <c r="K165" s="1930"/>
      <c r="L165" s="2278"/>
      <c r="M165" s="2278" t="s">
        <v>108</v>
      </c>
      <c r="N165" s="2674" t="str">
        <f>IF(Z165="","",INDEX(TERRITORY_MR_LIST,MATCH(Z165,TERRITORY_LIST_ID,0)))</f>
        <v/>
      </c>
      <c r="O165" s="2355" t="s">
        <v>65</v>
      </c>
      <c r="P165" s="2278"/>
      <c r="Q165" s="2278" t="s">
        <v>108</v>
      </c>
      <c r="R165" s="2672" t="s">
        <v>28</v>
      </c>
      <c r="S165" s="2277" t="s">
        <v>65</v>
      </c>
      <c r="T165" s="1981"/>
      <c r="U165" s="1981" t="s">
        <v>108</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9793"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417</v>
      </c>
      <c r="W166" s="489"/>
      <c r="Y166" s="1429"/>
      <c r="Z166" s="1429"/>
      <c r="AA166" s="1429"/>
      <c r="AB166" s="1429"/>
      <c r="AC166" s="1429"/>
      <c r="AD166" s="1429"/>
      <c r="AE166" s="1429"/>
      <c r="AF166" s="1429"/>
      <c r="AG166" s="1429"/>
      <c r="AH166" s="1429"/>
      <c r="AI166" s="1429"/>
      <c r="AJ166" s="1429"/>
      <c r="AK166" s="1429"/>
    </row>
    <row s="9793" customFormat="1" customHeight="1" ht="17.25">
      <c r="A167" s="2010"/>
      <c r="C167" s="2015"/>
      <c r="D167" s="2000"/>
      <c r="E167" s="2017"/>
      <c r="F167" s="1954"/>
      <c r="G167" s="2018"/>
      <c r="H167" s="2000"/>
      <c r="I167" s="2000"/>
      <c r="J167" s="2019"/>
      <c r="K167" s="1930"/>
      <c r="L167" s="2673"/>
      <c r="M167" s="2673"/>
      <c r="N167" s="2675"/>
      <c r="O167" s="2282"/>
      <c r="P167" s="487"/>
      <c r="Q167" s="488"/>
      <c r="R167" s="488" t="s">
        <v>228</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9793" customFormat="1" customHeight="1" ht="17.25">
      <c r="A169" s="2010"/>
      <c r="C169" s="2012"/>
      <c r="D169" s="2000"/>
      <c r="E169" s="2017"/>
      <c r="F169" s="1954"/>
      <c r="G169" s="2018"/>
      <c r="H169" s="2000"/>
      <c r="I169" s="2000"/>
      <c r="J169" s="2019"/>
      <c r="K169" s="1930"/>
      <c r="L169" s="1926"/>
      <c r="M169" s="1926"/>
      <c r="N169" s="2218"/>
      <c r="O169" s="1957"/>
      <c r="P169" s="2278"/>
      <c r="Q169" s="2278" t="s">
        <v>108</v>
      </c>
      <c r="R169" s="2672" t="s">
        <v>28</v>
      </c>
      <c r="S169" s="2277" t="s">
        <v>65</v>
      </c>
      <c r="T169" s="1981"/>
      <c r="U169" s="1981" t="s">
        <v>108</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9793"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417</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9793"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108</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3021" customFormat="1" customHeight="1" ht="17.25">
      <c r="A174" s="1985" t="s">
        <v>1951</v>
      </c>
    </row>
    <row customHeight="1" ht="17.25">
      <c r="G175" s="2009"/>
      <c r="H175" s="2009"/>
      <c r="I175" s="2009"/>
      <c r="M175" s="2005"/>
    </row>
    <row s="9793" customFormat="1" customHeight="1" ht="17.25">
      <c r="A176" s="2010"/>
      <c r="C176" s="2012"/>
      <c r="D176" s="2699"/>
      <c r="E176" s="2313"/>
      <c r="F176" s="2315"/>
      <c r="G176" s="2701"/>
      <c r="H176" s="2699"/>
      <c r="I176" s="2699">
        <v>1</v>
      </c>
      <c r="J176" s="2671"/>
      <c r="K176" s="2355" t="s">
        <v>65</v>
      </c>
      <c r="L176" s="2278"/>
      <c r="M176" s="2278" t="s">
        <v>108</v>
      </c>
      <c r="N176" s="2674" t="str">
        <f>IF(Z176="","",INDEX(TERRITORY_MR_LIST,MATCH(Z176,TERRITORY_LIST_ID,0)))</f>
        <v/>
      </c>
      <c r="O176" s="2355" t="s">
        <v>65</v>
      </c>
      <c r="P176" s="2278"/>
      <c r="Q176" s="2278" t="s">
        <v>108</v>
      </c>
      <c r="R176" s="2672" t="s">
        <v>28</v>
      </c>
      <c r="S176" s="2576" t="s">
        <v>19</v>
      </c>
      <c r="T176" s="1972"/>
      <c r="U176" s="1972" t="s">
        <v>108</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9793"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9793" customFormat="1" customHeight="1" ht="17.25">
      <c r="A178" s="2010"/>
      <c r="C178" s="2015"/>
      <c r="D178" s="2673"/>
      <c r="E178" s="2700"/>
      <c r="F178" s="2316"/>
      <c r="G178" s="2702"/>
      <c r="H178" s="2673"/>
      <c r="I178" s="2673"/>
      <c r="J178" s="2703"/>
      <c r="K178" s="2356"/>
      <c r="L178" s="2673"/>
      <c r="M178" s="2673"/>
      <c r="N178" s="2675"/>
      <c r="O178" s="2282"/>
      <c r="P178" s="487"/>
      <c r="Q178" s="488"/>
      <c r="R178" s="488" t="s">
        <v>228</v>
      </c>
      <c r="S178" s="2016"/>
      <c r="T178" s="2016"/>
      <c r="U178" s="2016"/>
      <c r="V178" s="2016"/>
      <c r="W178" s="1603"/>
      <c r="Y178" s="1429"/>
      <c r="Z178" s="1429"/>
      <c r="AA178" s="1429"/>
      <c r="AB178" s="1429"/>
      <c r="AC178" s="1429"/>
      <c r="AD178" s="1429"/>
      <c r="AE178" s="1429"/>
      <c r="AF178" s="1429"/>
      <c r="AG178" s="1429"/>
      <c r="AH178" s="1429"/>
      <c r="AI178" s="1429"/>
      <c r="AJ178" s="1429"/>
      <c r="AK178" s="1429"/>
    </row>
    <row s="9793" customFormat="1" customHeight="1" ht="17.25">
      <c r="A179" s="2010"/>
      <c r="C179" s="2015"/>
      <c r="D179" s="2673"/>
      <c r="E179" s="2700"/>
      <c r="F179" s="2316"/>
      <c r="G179" s="2702"/>
      <c r="H179" s="2673"/>
      <c r="I179" s="2673"/>
      <c r="J179" s="2703"/>
      <c r="K179" s="2282"/>
      <c r="L179" s="487"/>
      <c r="M179" s="488"/>
      <c r="N179" s="488" t="s">
        <v>229</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9793" customFormat="1" customHeight="1" ht="17.25">
      <c r="A180" s="2010"/>
      <c r="C180" s="2015"/>
      <c r="D180" s="2673"/>
      <c r="E180" s="2700"/>
      <c r="F180" s="2317"/>
      <c r="G180" s="2702"/>
      <c r="H180" s="487"/>
      <c r="I180" s="488"/>
      <c r="J180" s="488" t="s">
        <v>230</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9793" customFormat="1" customHeight="1" ht="17.25">
      <c r="A182" s="2010"/>
      <c r="C182" s="2012"/>
      <c r="D182" s="2000"/>
      <c r="E182" s="2017"/>
      <c r="F182" s="1954"/>
      <c r="G182" s="2018"/>
      <c r="H182" s="2699"/>
      <c r="I182" s="2699">
        <v>1</v>
      </c>
      <c r="J182" s="2671"/>
      <c r="K182" s="2355" t="s">
        <v>65</v>
      </c>
      <c r="L182" s="2278"/>
      <c r="M182" s="2278" t="s">
        <v>108</v>
      </c>
      <c r="N182" s="2674" t="str">
        <f>IF(Z182="","",INDEX(TERRITORY_MR_LIST,MATCH(Z182,TERRITORY_LIST_ID,0)))</f>
        <v/>
      </c>
      <c r="O182" s="2355" t="s">
        <v>65</v>
      </c>
      <c r="P182" s="2278"/>
      <c r="Q182" s="2278" t="s">
        <v>108</v>
      </c>
      <c r="R182" s="2672" t="s">
        <v>28</v>
      </c>
      <c r="S182" s="2576" t="s">
        <v>19</v>
      </c>
      <c r="T182" s="1972"/>
      <c r="U182" s="1972" t="s">
        <v>108</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9793"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9793" customFormat="1" customHeight="1" ht="17.25">
      <c r="A184" s="2010"/>
      <c r="C184" s="2015"/>
      <c r="D184" s="2000"/>
      <c r="E184" s="2017"/>
      <c r="F184" s="1954"/>
      <c r="G184" s="2018"/>
      <c r="H184" s="2673"/>
      <c r="I184" s="2673"/>
      <c r="J184" s="2703"/>
      <c r="K184" s="2356"/>
      <c r="L184" s="2673"/>
      <c r="M184" s="2673"/>
      <c r="N184" s="2675"/>
      <c r="O184" s="2282"/>
      <c r="P184" s="487"/>
      <c r="Q184" s="488"/>
      <c r="R184" s="488" t="s">
        <v>228</v>
      </c>
      <c r="S184" s="2016"/>
      <c r="T184" s="2016"/>
      <c r="U184" s="2016"/>
      <c r="V184" s="2016"/>
      <c r="W184" s="1603"/>
      <c r="Y184" s="1429"/>
      <c r="Z184" s="1429"/>
      <c r="AA184" s="1429"/>
      <c r="AB184" s="1429"/>
      <c r="AC184" s="1429"/>
      <c r="AD184" s="1429"/>
      <c r="AE184" s="1429"/>
      <c r="AF184" s="1429"/>
      <c r="AG184" s="1429"/>
      <c r="AH184" s="1429"/>
      <c r="AI184" s="1429"/>
      <c r="AJ184" s="1429"/>
      <c r="AK184" s="1429"/>
    </row>
    <row s="9793" customFormat="1" customHeight="1" ht="17.25">
      <c r="A185" s="2010"/>
      <c r="C185" s="2015"/>
      <c r="D185" s="2000"/>
      <c r="E185" s="2017"/>
      <c r="F185" s="1954"/>
      <c r="G185" s="2018"/>
      <c r="H185" s="2673"/>
      <c r="I185" s="2673"/>
      <c r="J185" s="2703"/>
      <c r="K185" s="2282"/>
      <c r="L185" s="487"/>
      <c r="M185" s="488"/>
      <c r="N185" s="488" t="s">
        <v>229</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9793" customFormat="1" customHeight="1" ht="17.25">
      <c r="A187" s="2010"/>
      <c r="C187" s="2012"/>
      <c r="D187" s="2000"/>
      <c r="E187" s="2017"/>
      <c r="F187" s="1954"/>
      <c r="G187" s="2018"/>
      <c r="H187" s="2000"/>
      <c r="I187" s="2000"/>
      <c r="J187" s="2021"/>
      <c r="K187" s="2018"/>
      <c r="L187" s="2278"/>
      <c r="M187" s="2278" t="s">
        <v>108</v>
      </c>
      <c r="N187" s="2674" t="str">
        <f>IF(Z187="","",INDEX(TERRITORY_MR_LIST,MATCH(Z187,TERRITORY_LIST_ID,0)))</f>
        <v/>
      </c>
      <c r="O187" s="2355" t="s">
        <v>65</v>
      </c>
      <c r="P187" s="2278"/>
      <c r="Q187" s="2278" t="s">
        <v>108</v>
      </c>
      <c r="R187" s="2672" t="s">
        <v>28</v>
      </c>
      <c r="S187" s="2576" t="s">
        <v>19</v>
      </c>
      <c r="T187" s="1972"/>
      <c r="U187" s="1972" t="s">
        <v>108</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9793"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9793" customFormat="1" customHeight="1" ht="17.25">
      <c r="A189" s="2010"/>
      <c r="C189" s="2015"/>
      <c r="D189" s="2000"/>
      <c r="E189" s="2017"/>
      <c r="F189" s="1954"/>
      <c r="G189" s="2018"/>
      <c r="H189" s="2000"/>
      <c r="I189" s="2000"/>
      <c r="J189" s="2021"/>
      <c r="K189" s="2018"/>
      <c r="L189" s="2673"/>
      <c r="M189" s="2673"/>
      <c r="N189" s="2675"/>
      <c r="O189" s="2282"/>
      <c r="P189" s="487"/>
      <c r="Q189" s="488"/>
      <c r="R189" s="488" t="s">
        <v>228</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9793" customFormat="1" customHeight="1" ht="17.25">
      <c r="A191" s="2010"/>
      <c r="C191" s="2012"/>
      <c r="D191" s="2000"/>
      <c r="E191" s="2017"/>
      <c r="F191" s="1954"/>
      <c r="G191" s="2018"/>
      <c r="H191" s="2000"/>
      <c r="I191" s="2000"/>
      <c r="J191" s="2021"/>
      <c r="K191" s="2018"/>
      <c r="L191" s="2000"/>
      <c r="M191" s="2000"/>
      <c r="N191" s="2218"/>
      <c r="O191" s="1957"/>
      <c r="P191" s="2278"/>
      <c r="Q191" s="2278" t="s">
        <v>108</v>
      </c>
      <c r="R191" s="2672" t="s">
        <v>28</v>
      </c>
      <c r="S191" s="2576" t="s">
        <v>19</v>
      </c>
      <c r="T191" s="1972"/>
      <c r="U191" s="1972" t="s">
        <v>108</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9793"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3021" customFormat="1" customHeight="1" ht="17.25">
      <c r="A200" s="1985" t="s">
        <v>1952</v>
      </c>
    </row>
    <row customHeight="1" ht="17.25">
      <c r="G201" s="2009"/>
      <c r="H201" s="2009"/>
      <c r="I201" s="2009"/>
      <c r="M201" s="2005"/>
    </row>
    <row s="9727" customFormat="1" customHeight="1" ht="15">
      <c r="D202" s="2693"/>
      <c r="E202" s="2369"/>
      <c r="F202" s="2369"/>
      <c r="G202" s="2355"/>
      <c r="H202" s="1734"/>
      <c r="I202" s="2697">
        <v>1</v>
      </c>
      <c r="J202" s="2671"/>
      <c r="K202" s="1749"/>
      <c r="L202" s="2355" t="s">
        <v>65</v>
      </c>
      <c r="M202" s="2355" t="s">
        <v>65</v>
      </c>
      <c r="N202" s="1734"/>
      <c r="O202" s="2278" t="s">
        <v>108</v>
      </c>
      <c r="P202" s="2687"/>
      <c r="Q202" s="1750"/>
      <c r="R202" s="2355" t="s">
        <v>65</v>
      </c>
      <c r="S202" s="2355" t="s">
        <v>65</v>
      </c>
      <c r="T202" s="2025"/>
      <c r="U202" s="2278" t="s">
        <v>108</v>
      </c>
      <c r="V202" s="2694" t="str">
        <f>IF(AK202="","",INDEX(TERRITORY_MR_LIST,MATCH(AK202,TERRITORY_LIST_ID,0)))</f>
        <v/>
      </c>
      <c r="W202" s="1751"/>
      <c r="X202" s="2355" t="s">
        <v>65</v>
      </c>
      <c r="Y202" s="2355" t="s">
        <v>19</v>
      </c>
      <c r="Z202" s="1734"/>
      <c r="AA202" s="2278" t="s">
        <v>108</v>
      </c>
      <c r="AB202" s="2696"/>
      <c r="AC202" s="1752"/>
      <c r="AD202" s="2355" t="s">
        <v>65</v>
      </c>
      <c r="AE202" s="2355" t="s">
        <v>19</v>
      </c>
      <c r="AF202" s="1732"/>
      <c r="AG202" s="1981" t="s">
        <v>108</v>
      </c>
      <c r="AH202" s="1742"/>
      <c r="AI202" s="1971"/>
    </row>
    <row s="9727"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1953</v>
      </c>
      <c r="AI203" s="2689"/>
    </row>
    <row s="9727"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1954</v>
      </c>
      <c r="AC204" s="2690"/>
      <c r="AD204" s="2690"/>
      <c r="AE204" s="2690"/>
      <c r="AF204" s="2690"/>
      <c r="AG204" s="2690"/>
      <c r="AH204" s="2690"/>
      <c r="AI204" s="2691"/>
    </row>
    <row s="9727"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102</v>
      </c>
      <c r="W205" s="2688"/>
      <c r="X205" s="2688"/>
      <c r="Y205" s="2688"/>
      <c r="Z205" s="2688"/>
      <c r="AA205" s="2688"/>
      <c r="AB205" s="2688"/>
      <c r="AC205" s="2688"/>
      <c r="AD205" s="2688"/>
      <c r="AE205" s="2688"/>
      <c r="AF205" s="2688"/>
      <c r="AG205" s="2688"/>
      <c r="AH205" s="2688"/>
      <c r="AI205" s="2689"/>
    </row>
    <row s="9727" customFormat="1" customHeight="1" ht="11.25">
      <c r="D206" s="2693"/>
      <c r="E206" s="2369"/>
      <c r="F206" s="2369"/>
      <c r="G206" s="2356"/>
      <c r="H206" s="1738"/>
      <c r="I206" s="2697"/>
      <c r="J206" s="2698"/>
      <c r="K206" s="1733"/>
      <c r="L206" s="2356"/>
      <c r="M206" s="2356"/>
      <c r="N206" s="1738"/>
      <c r="O206" s="1739"/>
      <c r="P206" s="2688" t="s">
        <v>1955</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10082" customFormat="1" customHeight="1" ht="11.25">
      <c r="D207" s="2693"/>
      <c r="E207" s="2369"/>
      <c r="F207" s="2369"/>
      <c r="G207" s="2282"/>
      <c r="H207" s="1740"/>
      <c r="I207" s="1741"/>
      <c r="J207" s="2688" t="s">
        <v>230</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9727"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9727"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9727"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9727"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9727"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10082"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5C95-C963-952E-7673-77AE22D3D6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339" width="43.140625"/>
    <col min="2" max="2" style="13339" width="43.140625" hidden="1"/>
    <col min="3" max="3" style="13339" width="43.140625"/>
    <col min="4" max="5" style="13339" width="36.421875" customWidth="1"/>
    <col min="6" max="8" style="13340" width="36.421875" customWidth="1"/>
  </cols>
  <sheetData>
    <row customHeight="1" ht="9">
      <c r="A1" s="1016" t="s">
        <v>1956</v>
      </c>
      <c r="B1" s="1016"/>
      <c r="C1" s="1152" t="s">
        <v>1957</v>
      </c>
      <c r="D1" s="1150" t="s">
        <v>819</v>
      </c>
      <c r="E1" s="1150" t="s">
        <v>865</v>
      </c>
      <c r="F1" s="1150" t="s">
        <v>918</v>
      </c>
      <c r="G1" s="1150" t="s">
        <v>905</v>
      </c>
      <c r="H1" s="1150" t="s">
        <v>1631</v>
      </c>
    </row>
    <row customHeight="1" ht="9">
      <c r="A2" s="1153" t="s">
        <v>1958</v>
      </c>
      <c r="B2" s="1153"/>
      <c r="C2" s="1154" t="str">
        <f>INDEX(TEMPLATE_NUMBER_FORM_LIST,MATCH(TEMPLATE_SPHERE,TEMPLATE_SPHERE_LIST,0))</f>
        <v>10</v>
      </c>
      <c r="D2" s="1153" t="s">
        <v>1481</v>
      </c>
      <c r="E2" s="1153" t="s">
        <v>148</v>
      </c>
      <c r="F2" s="1155" t="s">
        <v>148</v>
      </c>
      <c r="G2" s="1153" t="s">
        <v>148</v>
      </c>
      <c r="H2" s="1156"/>
    </row>
    <row customHeight="1" ht="63">
      <c r="A3" s="1016"/>
      <c r="B3" s="1016" t="s">
        <v>108</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54" t="s">
        <v>1959</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55"/>
      <c r="G3" s="1156"/>
      <c r="H3" s="1016"/>
    </row>
    <row customHeight="1" ht="243">
      <c r="A4" s="1016" t="s">
        <v>1960</v>
      </c>
      <c r="B4" s="1016" t="s">
        <v>109</v>
      </c>
      <c r="C4" s="1154" t="str">
        <f>IF(TEMPLATE_SPHERE="HEAT",D4,IF(TEMPLATE_SPHERE="TKO",H4,E4))</f>
        <v>Форма 1. Информация об организации, осуществляющей холодное водоснабжение (общая информация)</v>
      </c>
      <c r="D4" s="1153" t="s">
        <v>1961</v>
      </c>
      <c r="E4" s="11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53"/>
      <c r="G4" s="1153"/>
      <c r="H4" s="1016" t="s">
        <v>1962</v>
      </c>
    </row>
    <row customHeight="1" ht="117">
      <c r="A5" s="1016" t="s">
        <v>1963</v>
      </c>
      <c r="B5" s="1016" t="s">
        <v>89</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016" t="s">
        <v>1964</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56"/>
      <c r="G5" s="1156"/>
      <c r="H5" s="1016" t="s">
        <v>1965</v>
      </c>
    </row>
    <row customHeight="1" ht="90">
      <c r="A6" s="1016" t="s">
        <v>1966</v>
      </c>
      <c r="B6" s="1016" t="s">
        <v>90</v>
      </c>
      <c r="C6" s="115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016"/>
      <c r="G6" s="1016"/>
      <c r="H6" s="1156"/>
    </row>
    <row customHeight="1" ht="45">
      <c r="A7" s="1016" t="s">
        <v>1967</v>
      </c>
      <c r="B7" s="1016" t="s">
        <v>110</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1968</v>
      </c>
      <c r="E7" s="1016" t="s">
        <v>1969</v>
      </c>
      <c r="F7" s="1156"/>
      <c r="G7" s="1156"/>
      <c r="H7" s="1156"/>
    </row>
    <row customHeight="1" ht="108">
      <c r="A8" s="1016" t="s">
        <v>1970</v>
      </c>
      <c r="B8" s="1016" t="s">
        <v>91</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1175</v>
      </c>
      <c r="E8" s="1016" t="s">
        <v>1971</v>
      </c>
      <c r="F8" s="1156"/>
      <c r="G8" s="1156"/>
      <c r="H8" s="1156"/>
    </row>
    <row customHeight="1" ht="99">
      <c r="A9" s="1016" t="s">
        <v>1972</v>
      </c>
      <c r="B9" s="1016"/>
      <c r="C9" s="1016" t="s">
        <v>1973</v>
      </c>
      <c r="D9" s="1016"/>
      <c r="E9" s="1016"/>
      <c r="F9" s="1156"/>
      <c r="G9" s="1156"/>
      <c r="H9" s="1156"/>
    </row>
    <row customHeight="1" ht="126">
      <c r="A10" s="1016" t="s">
        <v>1974</v>
      </c>
      <c r="B10" s="1016"/>
      <c r="C10" s="1016" t="s">
        <v>1975</v>
      </c>
      <c r="D10" s="1016"/>
      <c r="E10" s="1016"/>
      <c r="F10" s="1156"/>
      <c r="G10" s="1156"/>
      <c r="H10" s="1156"/>
    </row>
    <row customHeight="1" ht="108">
      <c r="A11" s="1016" t="s">
        <v>1976</v>
      </c>
      <c r="B11" s="1016"/>
      <c r="C11" s="1016" t="s">
        <v>1977</v>
      </c>
      <c r="D11" s="1016"/>
      <c r="E11" s="1016"/>
      <c r="F11" s="1156"/>
      <c r="G11" s="1156"/>
      <c r="H11" s="1156"/>
    </row>
    <row customHeight="1" ht="54">
      <c r="A12" s="1016" t="s">
        <v>1978</v>
      </c>
      <c r="B12" s="1016"/>
      <c r="C12" s="1016" t="s">
        <v>1979</v>
      </c>
      <c r="D12" s="1016"/>
      <c r="E12" s="1016"/>
      <c r="F12" s="1156"/>
      <c r="G12" s="1156"/>
      <c r="H12" s="1156"/>
    </row>
    <row customHeight="1" ht="45">
      <c r="A13" s="1016" t="s">
        <v>1980</v>
      </c>
      <c r="B13" s="1016"/>
      <c r="C13" s="1016" t="s">
        <v>1981</v>
      </c>
      <c r="D13" s="1016"/>
      <c r="E13" s="1016"/>
      <c r="F13" s="1156"/>
      <c r="G13" s="1156"/>
      <c r="H13" s="1156"/>
    </row>
    <row customHeight="1" ht="117">
      <c r="A14" s="1016" t="s">
        <v>1982</v>
      </c>
      <c r="B14" s="1016"/>
      <c r="C14" s="1016" t="s">
        <v>1983</v>
      </c>
      <c r="D14" s="1016"/>
      <c r="E14" s="1016"/>
      <c r="F14" s="1156"/>
      <c r="G14" s="1156"/>
      <c r="H14" s="1156"/>
    </row>
    <row customHeight="1" ht="117">
      <c r="A15" s="1016" t="s">
        <v>1984</v>
      </c>
      <c r="B15" s="1016"/>
      <c r="C15" s="1016" t="s">
        <v>1985</v>
      </c>
      <c r="D15" s="1016"/>
      <c r="E15" s="1016"/>
      <c r="F15" s="1156"/>
      <c r="G15" s="1156"/>
      <c r="H15" s="1156"/>
    </row>
    <row customHeight="1" ht="63">
      <c r="A16" s="1016" t="s">
        <v>1986</v>
      </c>
      <c r="B16" s="1016"/>
      <c r="C16" s="1016" t="s">
        <v>1987</v>
      </c>
      <c r="D16" s="1016"/>
      <c r="E16" s="1016"/>
      <c r="F16" s="1156"/>
      <c r="G16" s="1156"/>
      <c r="H16" s="1156"/>
    </row>
    <row customHeight="1" ht="54">
      <c r="A17" s="1016" t="s">
        <v>1988</v>
      </c>
      <c r="B17" s="1016"/>
      <c r="C17" s="1154" t="s">
        <v>1989</v>
      </c>
      <c r="D17" s="1016"/>
      <c r="E17" s="1016"/>
      <c r="F17" s="1156"/>
      <c r="G17" s="1156"/>
      <c r="H17" s="1156"/>
    </row>
    <row customHeight="1" ht="27">
      <c r="A18" s="1016" t="s">
        <v>1990</v>
      </c>
      <c r="B18" s="1016"/>
      <c r="C18" s="1154" t="s">
        <v>1991</v>
      </c>
      <c r="D18" s="1016"/>
      <c r="E18" s="1016"/>
      <c r="F18" s="1156"/>
      <c r="G18" s="1156"/>
      <c r="H18" s="1156"/>
    </row>
    <row customHeight="1" ht="54">
      <c r="A19" s="1016" t="s">
        <v>1992</v>
      </c>
      <c r="B19" s="1016"/>
      <c r="C19" s="1154" t="s">
        <v>1993</v>
      </c>
      <c r="D19" s="1016"/>
      <c r="E19" s="1016"/>
      <c r="F19" s="1156"/>
      <c r="G19" s="1156"/>
      <c r="H19" s="1156"/>
    </row>
    <row customHeight="1" ht="36">
      <c r="A20" s="1016" t="s">
        <v>1994</v>
      </c>
      <c r="B20" s="1016"/>
      <c r="C20" s="1154" t="s">
        <v>1995</v>
      </c>
      <c r="D20" s="1016"/>
      <c r="E20" s="1016"/>
      <c r="F20" s="1156"/>
      <c r="G20" s="1156"/>
      <c r="H20" s="1156"/>
    </row>
    <row customHeight="1" ht="36">
      <c r="A21" s="1016" t="s">
        <v>1996</v>
      </c>
      <c r="B21" s="1016"/>
      <c r="C21" s="1154" t="s">
        <v>1997</v>
      </c>
      <c r="D21" s="1016"/>
      <c r="E21" s="1016"/>
      <c r="F21" s="1156"/>
      <c r="G21" s="1156"/>
      <c r="H21" s="1156"/>
    </row>
    <row customHeight="1" ht="27">
      <c r="A22" s="1016" t="s">
        <v>1998</v>
      </c>
      <c r="B22" s="1016"/>
      <c r="C22" s="1154" t="s">
        <v>1999</v>
      </c>
      <c r="D22" s="1016"/>
      <c r="E22" s="1016"/>
      <c r="F22" s="1156"/>
      <c r="G22" s="1156"/>
      <c r="H22" s="1156"/>
    </row>
    <row customHeight="1" ht="36">
      <c r="A23" s="1016" t="s">
        <v>2000</v>
      </c>
      <c r="B23" s="1016"/>
      <c r="C23" s="1154" t="s">
        <v>2001</v>
      </c>
      <c r="D23" s="1016"/>
      <c r="E23" s="1016"/>
      <c r="F23" s="1156"/>
      <c r="G23" s="1156"/>
      <c r="H23" s="1156"/>
    </row>
    <row customHeight="1" ht="28.5">
      <c r="A24" s="1016" t="s">
        <v>2002</v>
      </c>
      <c r="B24" s="1016"/>
      <c r="C24" s="1154" t="s">
        <v>2003</v>
      </c>
      <c r="D24" s="1016"/>
      <c r="E24" s="1016"/>
      <c r="F24" s="1156"/>
      <c r="G24" s="1156"/>
      <c r="H24" s="1156"/>
    </row>
    <row customHeight="1" ht="36">
      <c r="A25" s="1016" t="s">
        <v>2004</v>
      </c>
      <c r="B25" s="1016"/>
      <c r="C25" s="1154" t="s">
        <v>2005</v>
      </c>
      <c r="D25" s="1016"/>
      <c r="E25" s="1016"/>
      <c r="F25" s="1156"/>
      <c r="G25" s="1156"/>
      <c r="H25" s="1156"/>
    </row>
    <row customHeight="1" ht="27">
      <c r="A26" s="1016" t="s">
        <v>2006</v>
      </c>
      <c r="B26" s="1016"/>
      <c r="C26" s="1154" t="s">
        <v>2007</v>
      </c>
      <c r="D26" s="1016"/>
      <c r="E26" s="1016"/>
      <c r="F26" s="1156"/>
      <c r="G26" s="1156"/>
      <c r="H26" s="1156"/>
    </row>
    <row customHeight="1" ht="36">
      <c r="A27" s="1016" t="s">
        <v>2008</v>
      </c>
      <c r="B27" s="1016"/>
      <c r="C27" s="1154" t="s">
        <v>2009</v>
      </c>
      <c r="D27" s="1016"/>
      <c r="E27" s="1016"/>
      <c r="F27" s="1156"/>
      <c r="G27" s="1156"/>
      <c r="H27" s="1156"/>
    </row>
    <row customHeight="1" ht="28.5">
      <c r="A28" s="1016" t="s">
        <v>2010</v>
      </c>
      <c r="B28" s="1016"/>
      <c r="C28" s="1154" t="s">
        <v>2011</v>
      </c>
      <c r="D28" s="1016"/>
      <c r="E28" s="1016"/>
      <c r="F28" s="1156"/>
      <c r="G28" s="1156"/>
      <c r="H28" s="1156"/>
    </row>
    <row customHeight="1" ht="126">
      <c r="A29" s="1016" t="s">
        <v>2012</v>
      </c>
      <c r="B29" s="1016" t="s">
        <v>1582</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016" t="s">
        <v>2013</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56"/>
      <c r="G29" s="1156"/>
      <c r="H29" s="1016" t="s">
        <v>2014</v>
      </c>
    </row>
    <row customHeight="1" ht="36">
      <c r="A30" s="1016" t="s">
        <v>2015</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016" t="s">
        <v>2016</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56"/>
      <c r="G30" s="1156"/>
      <c r="H30" s="1156"/>
    </row>
    <row customHeight="1" ht="54">
      <c r="A31" s="1016" t="s">
        <v>2017</v>
      </c>
      <c r="B31" s="1016"/>
      <c r="C31" s="1154" t="str">
        <f>IF(TEMPLATE_SPHERE="HEAT",D31,IF(TEMPLATE_SPHERE="TKO",H31,E31))</f>
        <v>Форма 1. Информация об организации, осуществляющей холодное водоснабжение (общая информация)</v>
      </c>
      <c r="D31" s="1016" t="s">
        <v>2018</v>
      </c>
      <c r="E31" s="101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56"/>
      <c r="G31" s="1156"/>
      <c r="H31" s="1156"/>
    </row>
    <row customHeight="1" ht="198">
      <c r="A32" s="1016" t="s">
        <v>2019</v>
      </c>
      <c r="B32" s="1016"/>
      <c r="C32" s="1154" t="str">
        <f>IF(TEMPLATE_SPHERE="HEAT",D32,IF(TEMPLATE_SPHERE="TKO",H32,E32))</f>
        <v>Форма 7. Информация об инвестиционных программах организации холодного водоснабжения и отчетах об их исполнении</v>
      </c>
      <c r="D32" s="1016" t="s">
        <v>2020</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56"/>
      <c r="G32" s="1156"/>
      <c r="H32" s="1016" t="s">
        <v>2021</v>
      </c>
    </row>
    <row customHeight="1" ht="9">
      <c r="A33" s="1016"/>
      <c r="B33" s="1016"/>
      <c r="C33" s="1154"/>
      <c r="D33" s="1016"/>
      <c r="E33" s="1016"/>
      <c r="F33" s="1156"/>
      <c r="G33" s="1156"/>
      <c r="H33" s="1156"/>
    </row>
    <row customHeight="1" ht="9">
      <c r="A34" s="1016"/>
      <c r="B34" s="1016" t="s">
        <v>1518</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57E07C-06D6-68FE-3CDD-F0633E7DB9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339" width="9.140625"/>
    <col min="3" max="7" style="13383" width="8.00390625" customWidth="1"/>
    <col min="8" max="12" style="13383" width="8.57421875" customWidth="1"/>
    <col min="13" max="14" style="13383" width="27.7109375" customWidth="1"/>
    <col min="15" max="19" style="13383" width="5.140625" customWidth="1"/>
    <col min="20" max="24" style="13383" width="27.7109375" customWidth="1"/>
    <col min="25" max="25" style="13384" width="1.8515625" customWidth="1"/>
    <col min="26" max="26" style="13339" width="27.7109375" customWidth="1"/>
    <col min="27" max="27" style="13385" width="27.7109375" customWidth="1"/>
    <col min="28" max="29" style="13339" width="27.7109375" customWidth="1"/>
    <col min="30" max="30" style="13339" width="3.8515625" customWidth="1"/>
    <col min="31" max="34" style="13339" width="9.140625"/>
  </cols>
  <sheetData>
    <row s="13341" customFormat="1" customHeight="1" ht="18">
      <c r="A1" s="1068"/>
      <c r="B1" s="1068"/>
      <c r="C1" s="1068" t="s">
        <v>2022</v>
      </c>
      <c r="D1" s="1068"/>
      <c r="E1" s="1068"/>
      <c r="F1" s="1068"/>
      <c r="G1" s="1068"/>
      <c r="H1" s="1068" t="s">
        <v>2023</v>
      </c>
      <c r="I1" s="1068"/>
      <c r="J1" s="1068"/>
      <c r="K1" s="1068"/>
      <c r="L1" s="1068"/>
      <c r="M1" s="1068" t="s">
        <v>2024</v>
      </c>
      <c r="N1" s="1068" t="s">
        <v>2025</v>
      </c>
      <c r="O1" s="2762" t="s">
        <v>2026</v>
      </c>
      <c r="P1" s="2762"/>
      <c r="Q1" s="2762"/>
      <c r="R1" s="2762"/>
      <c r="S1" s="2762"/>
      <c r="T1" s="2762" t="s">
        <v>2024</v>
      </c>
      <c r="U1" s="2762"/>
      <c r="V1" s="2762"/>
      <c r="W1" s="2762"/>
      <c r="X1" s="2762"/>
      <c r="Y1" s="1169"/>
      <c r="Z1" s="2762" t="s">
        <v>2027</v>
      </c>
      <c r="AA1" s="2762"/>
      <c r="AB1" s="2762"/>
      <c r="AC1" s="2762"/>
      <c r="AD1" s="2762"/>
    </row>
    <row customHeight="1" ht="18">
      <c r="A2" s="1016"/>
      <c r="B2" s="1016"/>
      <c r="C2" s="1011" t="s">
        <v>819</v>
      </c>
      <c r="D2" s="1011" t="s">
        <v>865</v>
      </c>
      <c r="E2" s="1011" t="s">
        <v>918</v>
      </c>
      <c r="F2" s="1011" t="s">
        <v>905</v>
      </c>
      <c r="G2" s="1011" t="s">
        <v>1631</v>
      </c>
      <c r="H2" s="1013"/>
      <c r="I2" s="1013"/>
      <c r="J2" s="1013"/>
      <c r="K2" s="1013"/>
      <c r="L2" s="1013"/>
      <c r="M2" s="1013"/>
      <c r="N2" s="1013"/>
      <c r="O2" s="1011" t="s">
        <v>819</v>
      </c>
      <c r="P2" s="1011" t="s">
        <v>865</v>
      </c>
      <c r="Q2" s="1011" t="s">
        <v>905</v>
      </c>
      <c r="R2" s="1011" t="s">
        <v>918</v>
      </c>
      <c r="S2" s="1011" t="s">
        <v>1631</v>
      </c>
      <c r="T2" s="1011" t="s">
        <v>819</v>
      </c>
      <c r="U2" s="1011" t="s">
        <v>865</v>
      </c>
      <c r="V2" s="1011" t="s">
        <v>905</v>
      </c>
      <c r="W2" s="1011" t="s">
        <v>918</v>
      </c>
      <c r="X2" s="1011" t="s">
        <v>1631</v>
      </c>
      <c r="Y2" s="1011"/>
      <c r="Z2" s="1011" t="s">
        <v>819</v>
      </c>
      <c r="AA2" s="1020" t="s">
        <v>865</v>
      </c>
      <c r="AB2" s="1011" t="s">
        <v>905</v>
      </c>
      <c r="AC2" s="1011" t="s">
        <v>918</v>
      </c>
      <c r="AD2" s="1011" t="s">
        <v>1631</v>
      </c>
    </row>
    <row customHeight="1" ht="162">
      <c r="A3" s="1015" t="s">
        <v>26</v>
      </c>
      <c r="B3" s="1015"/>
      <c r="C3" s="2766" t="s">
        <v>2028</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013"/>
      <c r="P3" s="1013"/>
      <c r="Q3" s="1013"/>
      <c r="R3" s="1013"/>
      <c r="S3" s="1013"/>
      <c r="T3" s="1013"/>
      <c r="U3" s="1013"/>
      <c r="V3" s="1013"/>
      <c r="W3" s="1013"/>
      <c r="X3" s="1013"/>
      <c r="Y3" s="1170"/>
      <c r="Z3" s="1016" t="s">
        <v>2029</v>
      </c>
      <c r="AA3" s="1013" t="s">
        <v>2030</v>
      </c>
      <c r="AB3" s="1016" t="s">
        <v>2031</v>
      </c>
      <c r="AC3" s="1016" t="s">
        <v>2032</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1569</v>
      </c>
      <c r="D11" s="2769" t="s">
        <v>1565</v>
      </c>
      <c r="E11" s="2769" t="s">
        <v>1664</v>
      </c>
      <c r="F11" s="2769" t="s">
        <v>2033</v>
      </c>
      <c r="G11" s="2769"/>
      <c r="H11" s="1068" t="s">
        <v>2034</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013"/>
      <c r="P11" s="1013"/>
      <c r="Q11" s="1013"/>
      <c r="R11" s="1013"/>
      <c r="S11" s="1013"/>
      <c r="T11" s="1013" t="s">
        <v>2035</v>
      </c>
      <c r="U11" s="1013" t="s">
        <v>2036</v>
      </c>
      <c r="V11" s="1013"/>
      <c r="W11" s="1013"/>
      <c r="X11" s="1013"/>
      <c r="Y11" s="1170"/>
      <c r="Z11" s="1016" t="s">
        <v>2037</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016"/>
      <c r="AC11" s="1016"/>
      <c r="AD11" s="1016"/>
    </row>
    <row customHeight="1" ht="45">
      <c r="A12" s="2763"/>
      <c r="B12" s="1069">
        <v>2</v>
      </c>
      <c r="C12" s="2770"/>
      <c r="D12" s="2770"/>
      <c r="E12" s="2770"/>
      <c r="F12" s="2770"/>
      <c r="G12" s="2770"/>
      <c r="H12" s="1068" t="s">
        <v>2038</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013"/>
      <c r="P12" s="1013"/>
      <c r="Q12" s="1013"/>
      <c r="R12" s="1013"/>
      <c r="S12" s="1013"/>
      <c r="T12" s="1013" t="s">
        <v>2039</v>
      </c>
      <c r="U12" s="1013" t="s">
        <v>2040</v>
      </c>
      <c r="V12" s="1013"/>
      <c r="W12" s="1013"/>
      <c r="X12" s="1013"/>
      <c r="Y12" s="1170"/>
      <c r="Z12" s="1016" t="s">
        <v>2041</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016"/>
      <c r="AC12" s="1016"/>
      <c r="AD12" s="1016"/>
    </row>
    <row customHeight="1" ht="72">
      <c r="A13" s="2763"/>
      <c r="B13" s="1069">
        <v>3</v>
      </c>
      <c r="C13" s="2770"/>
      <c r="D13" s="2770"/>
      <c r="E13" s="2770"/>
      <c r="F13" s="2770"/>
      <c r="G13" s="2770"/>
      <c r="H13" s="2762" t="s">
        <v>2042</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013"/>
      <c r="P13" s="1014"/>
      <c r="Q13" s="1014"/>
      <c r="R13" s="1014"/>
      <c r="S13" s="1013"/>
      <c r="T13" s="1013" t="s">
        <v>2043</v>
      </c>
      <c r="U13" s="1014" t="s">
        <v>2044</v>
      </c>
      <c r="V13" s="1014"/>
      <c r="W13" s="1014"/>
      <c r="X13" s="1013"/>
      <c r="Y13" s="1170"/>
      <c r="Z13" s="1016" t="s">
        <v>2045</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2046</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014"/>
      <c r="W14" s="1014"/>
      <c r="X14" s="1013"/>
      <c r="Y14" s="1170"/>
      <c r="Z14" s="1016" t="s">
        <v>2047</v>
      </c>
      <c r="AA14" s="1019" t="s">
        <v>2047</v>
      </c>
      <c r="AB14" s="1016"/>
      <c r="AC14" s="1016"/>
      <c r="AD14" s="1016"/>
    </row>
    <row customHeight="1" ht="108">
      <c r="A15" s="2763"/>
      <c r="B15" s="1069">
        <v>5</v>
      </c>
      <c r="C15" s="2770"/>
      <c r="D15" s="2770"/>
      <c r="E15" s="2770"/>
      <c r="F15" s="2770"/>
      <c r="G15" s="2770"/>
      <c r="H15" s="2764" t="s">
        <v>2048</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013"/>
      <c r="P15" s="1014"/>
      <c r="Q15" s="1014"/>
      <c r="R15" s="1014"/>
      <c r="S15" s="1013"/>
      <c r="T15" s="1013" t="s">
        <v>2049</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014"/>
      <c r="W15" s="1014"/>
      <c r="X15" s="1013"/>
      <c r="Y15" s="1170"/>
      <c r="Z15" s="1016" t="s">
        <v>2050</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013"/>
      <c r="P16" s="1014"/>
      <c r="Q16" s="1014"/>
      <c r="R16" s="1014"/>
      <c r="S16" s="1013"/>
      <c r="T16" s="1013"/>
      <c r="U16" s="1014"/>
      <c r="V16" s="1014"/>
      <c r="W16" s="1014"/>
      <c r="X16" s="1013"/>
      <c r="Y16" s="1170"/>
      <c r="Z16" s="1016" t="s">
        <v>2050</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1667</v>
      </c>
      <c r="B18" s="1069">
        <v>1</v>
      </c>
      <c r="C18" s="1013" t="s">
        <v>2034</v>
      </c>
      <c r="D18" s="1137" t="s">
        <v>2034</v>
      </c>
      <c r="E18" s="1013" t="s">
        <v>2034</v>
      </c>
      <c r="F18" s="1013" t="s">
        <v>2034</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холодного водоснабжения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холодного водоснабжения</v>
      </c>
      <c r="N18" s="1014" t="str">
        <f>IF(K18=0,"",K18)</f>
        <v>Указывается выручка с распределением по видам деятельности.</v>
      </c>
      <c r="O18" s="1127">
        <v>1</v>
      </c>
      <c r="P18" s="1127">
        <v>1</v>
      </c>
      <c r="Q18" s="1127">
        <v>1</v>
      </c>
      <c r="R18" s="1127">
        <v>1</v>
      </c>
      <c r="S18" s="1127"/>
      <c r="T18" s="1134" t="s">
        <v>2051</v>
      </c>
      <c r="U18" s="1016" t="s">
        <v>2052</v>
      </c>
      <c r="V18" s="1016" t="s">
        <v>2053</v>
      </c>
      <c r="W18" s="1016" t="s">
        <v>2054</v>
      </c>
      <c r="X18" s="1013"/>
      <c r="Y18" s="1170"/>
      <c r="Z18" s="1016" t="s">
        <v>2055</v>
      </c>
      <c r="AA18" s="1019" t="s">
        <v>2056</v>
      </c>
      <c r="AB18" s="1019" t="s">
        <v>2056</v>
      </c>
      <c r="AC18" s="1019" t="s">
        <v>2056</v>
      </c>
      <c r="AD18" s="1016"/>
    </row>
    <row customHeight="1" ht="36">
      <c r="A19" s="1015"/>
      <c r="B19" s="1069">
        <v>2</v>
      </c>
      <c r="C19" s="1013" t="s">
        <v>2038</v>
      </c>
      <c r="D19" s="1137" t="s">
        <v>2038</v>
      </c>
      <c r="E19" s="1013" t="s">
        <v>2038</v>
      </c>
      <c r="F19" s="1013" t="s">
        <v>2038</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холодного водоснабжения, включая:</v>
      </c>
      <c r="N19" s="1014" t="str">
        <f>IF(K19=0,"",K19)</f>
        <v>Указывается суммарная себестоимость производимых товаров.</v>
      </c>
      <c r="O19" s="1127">
        <v>2</v>
      </c>
      <c r="P19" s="1127">
        <v>2</v>
      </c>
      <c r="Q19" s="1127">
        <v>2</v>
      </c>
      <c r="R19" s="1127">
        <v>2</v>
      </c>
      <c r="S19" s="1127"/>
      <c r="T19" s="1134" t="s">
        <v>2057</v>
      </c>
      <c r="U19" s="1016" t="s">
        <v>2058</v>
      </c>
      <c r="V19" s="1016" t="s">
        <v>2059</v>
      </c>
      <c r="W19" s="1016" t="s">
        <v>2060</v>
      </c>
      <c r="X19" s="1013"/>
      <c r="Y19" s="1170"/>
      <c r="Z19" s="1016" t="s">
        <v>2061</v>
      </c>
      <c r="AA19" s="1019" t="s">
        <v>2061</v>
      </c>
      <c r="AB19" s="1019" t="s">
        <v>2061</v>
      </c>
      <c r="AC19" s="1019" t="s">
        <v>2061</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75">
        <f>INDEX(TEMPLATE_NOTE_POINT_FHD,B20,MATCH(TEMPLATE_SPHERE,TEMPLATE_SPHERE_LIST_FOR_NOTE,0))</f>
        <v>0</v>
      </c>
      <c r="L20" s="1014" t="str">
        <f>IF(I20=0,"",I20)</f>
        <v>2.1</v>
      </c>
      <c r="M20" s="1014" t="str">
        <f>IF(J20=0,"",J20)</f>
        <v>Расходы на оплату холодной воды, приобретаемой у других организаций для последующей подачи потребителям</v>
      </c>
      <c r="N20" s="1014" t="str">
        <f>IF(K20=0,"",K20)</f>
        <v/>
      </c>
      <c r="O20" s="1127" t="s">
        <v>720</v>
      </c>
      <c r="P20" s="1127" t="s">
        <v>720</v>
      </c>
      <c r="Q20" s="1127" t="s">
        <v>720</v>
      </c>
      <c r="R20" s="1127" t="s">
        <v>720</v>
      </c>
      <c r="S20" s="1127"/>
      <c r="T20" s="1134" t="s">
        <v>2062</v>
      </c>
      <c r="U20" s="1016" t="s">
        <v>2063</v>
      </c>
      <c r="V20" s="1016" t="s">
        <v>2064</v>
      </c>
      <c r="W20" s="1016" t="s">
        <v>2065</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310</v>
      </c>
      <c r="P21" s="1127"/>
      <c r="Q21" s="1127"/>
      <c r="R21" s="1127"/>
      <c r="S21" s="1127"/>
      <c r="T21" s="1134" t="s">
        <v>2066</v>
      </c>
      <c r="U21" s="1016"/>
      <c r="V21" s="1016"/>
      <c r="W21" s="1016"/>
      <c r="X21" s="1013"/>
      <c r="Y21" s="1170"/>
      <c r="Z21" s="1016" t="s">
        <v>2067</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310</v>
      </c>
      <c r="R22" s="1127"/>
      <c r="S22" s="1127"/>
      <c r="T22" s="1134"/>
      <c r="U22" s="1016"/>
      <c r="V22" s="1016" t="s">
        <v>2068</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313</v>
      </c>
      <c r="R23" s="1127"/>
      <c r="S23" s="1127"/>
      <c r="T23" s="1134"/>
      <c r="U23" s="1016"/>
      <c r="V23" s="1016" t="s">
        <v>2069</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740</v>
      </c>
      <c r="R24" s="1127"/>
      <c r="S24" s="1127"/>
      <c r="T24" s="1134"/>
      <c r="U24" s="1016"/>
      <c r="V24" s="1016" t="s">
        <v>2070</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2.2</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2.2</v>
      </c>
      <c r="M25" s="1014" t="str">
        <f>IF(J25=0,"",J25)</f>
        <v>Расходы на приобретаемую электрическую энергию (мощность), используемую в технологическом процессе</v>
      </c>
      <c r="N25" s="1014" t="str">
        <f>IF(K25=0,"",K25)</f>
        <v/>
      </c>
      <c r="O25" s="1127" t="s">
        <v>313</v>
      </c>
      <c r="P25" s="1127" t="s">
        <v>310</v>
      </c>
      <c r="Q25" s="1127" t="s">
        <v>747</v>
      </c>
      <c r="R25" s="1127" t="s">
        <v>310</v>
      </c>
      <c r="S25" s="1127"/>
      <c r="T25" s="1134" t="s">
        <v>2071</v>
      </c>
      <c r="U25" s="1016" t="s">
        <v>2071</v>
      </c>
      <c r="V25" s="1016" t="s">
        <v>2071</v>
      </c>
      <c r="W25" s="1016" t="s">
        <v>2071</v>
      </c>
      <c r="X25" s="1013"/>
      <c r="Y25" s="1170"/>
      <c r="Z25" s="1016"/>
      <c r="AA25" s="1019"/>
      <c r="AB25" s="1016"/>
      <c r="AC25" s="1016"/>
      <c r="AD25" s="1016"/>
    </row>
    <row customHeight="1" ht="18">
      <c r="A26" s="1015"/>
      <c r="B26" s="1069">
        <v>9</v>
      </c>
      <c r="C26" s="1013" t="s">
        <v>664</v>
      </c>
      <c r="D26" s="1137"/>
      <c r="E26" s="1013"/>
      <c r="F26" s="1013"/>
      <c r="G26" s="1061"/>
      <c r="H26" s="1128"/>
      <c r="I26" s="1175" t="str">
        <f>INDEX(TEMPLATE_NUMBER_POINT_FHD,B26,MATCH(TEMPLATE_SPHERE,TEMPLATE_SPHERE_LIST_FOR_NOTE,0))</f>
        <v>2.2.1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2.2.1</v>
      </c>
      <c r="M26" s="1014" t="str">
        <f>IF(J26=0,"",J26)</f>
        <v>Средневзвешенная стоимость 1 кВт.ч (с учетом мощности)</v>
      </c>
      <c r="N26" s="1014" t="str">
        <f>IF(K26=0,"",K26)</f>
        <v/>
      </c>
      <c r="O26" s="1127" t="s">
        <v>736</v>
      </c>
      <c r="P26" s="1127" t="s">
        <v>730</v>
      </c>
      <c r="Q26" s="1127" t="s">
        <v>2072</v>
      </c>
      <c r="R26" s="1127" t="s">
        <v>730</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2073</v>
      </c>
      <c r="V26" s="1134" t="s">
        <v>2073</v>
      </c>
      <c r="W26" s="1134" t="s">
        <v>2073</v>
      </c>
      <c r="X26" s="1013"/>
      <c r="Y26" s="1170"/>
      <c r="Z26" s="1016"/>
      <c r="AA26" s="1019"/>
      <c r="AB26" s="1016"/>
      <c r="AC26" s="1016"/>
      <c r="AD26" s="1016"/>
    </row>
    <row customHeight="1" ht="18">
      <c r="A27" s="1015"/>
      <c r="B27" s="1069">
        <v>10</v>
      </c>
      <c r="C27" s="1013" t="s">
        <v>668</v>
      </c>
      <c r="D27" s="1137"/>
      <c r="E27" s="1013"/>
      <c r="F27" s="1013"/>
      <c r="G27" s="1061"/>
      <c r="H27" s="1128"/>
      <c r="I27" s="1175" t="str">
        <f>INDEX(TEMPLATE_NUMBER_POINT_FHD,B27,MATCH(TEMPLATE_SPHERE,TEMPLATE_SPHERE_LIST_FOR_NOTE,0))</f>
        <v>2.2.2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2.2.2</v>
      </c>
      <c r="M27" s="1014" t="str">
        <f>IF(J27=0,"",J27)</f>
        <v>Объём приобретения электрической энергии</v>
      </c>
      <c r="N27" s="1014" t="str">
        <f>IF(K27=0,"",K27)</f>
        <v/>
      </c>
      <c r="O27" s="1127" t="s">
        <v>738</v>
      </c>
      <c r="P27" s="1127" t="s">
        <v>732</v>
      </c>
      <c r="Q27" s="1127" t="s">
        <v>2074</v>
      </c>
      <c r="R27" s="1127" t="s">
        <v>732</v>
      </c>
      <c r="S27" s="1127"/>
      <c r="T27" s="1134" t="s">
        <v>2075</v>
      </c>
      <c r="U27" s="1134" t="s">
        <v>2075</v>
      </c>
      <c r="V27" s="1134" t="s">
        <v>2075</v>
      </c>
      <c r="W27" s="1134" t="s">
        <v>2075</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740</v>
      </c>
      <c r="P28" s="1127"/>
      <c r="Q28" s="1127"/>
      <c r="R28" s="1127"/>
      <c r="S28" s="1127"/>
      <c r="T28" s="1134" t="s">
        <v>2076</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2.3</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2.3</v>
      </c>
      <c r="M29" s="1014" t="str">
        <f>IF(J29=0,"",J29)</f>
        <v>Расходы на химические реагенты, используемые в технологическом процессе</v>
      </c>
      <c r="N29" s="1014" t="str">
        <f>IF(K29=0,"",K29)</f>
        <v/>
      </c>
      <c r="O29" s="1127" t="s">
        <v>747</v>
      </c>
      <c r="P29" s="1127" t="s">
        <v>313</v>
      </c>
      <c r="Q29" s="1127"/>
      <c r="R29" s="1127" t="s">
        <v>313</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2077</v>
      </c>
      <c r="V29" s="1016"/>
      <c r="W29" s="1016" t="s">
        <v>2077</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2.4</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2.4</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749</v>
      </c>
      <c r="P30" s="1127" t="s">
        <v>740</v>
      </c>
      <c r="Q30" s="1127" t="s">
        <v>749</v>
      </c>
      <c r="R30" s="1127" t="s">
        <v>740</v>
      </c>
      <c r="S30" s="1127"/>
      <c r="T30" s="1134" t="s">
        <v>2078</v>
      </c>
      <c r="U30" s="1016" t="s">
        <v>2078</v>
      </c>
      <c r="V30" s="1016" t="s">
        <v>2078</v>
      </c>
      <c r="W30" s="1016" t="s">
        <v>2078</v>
      </c>
      <c r="X30" s="1013"/>
      <c r="Y30" s="1170"/>
      <c r="Z30" s="1016"/>
      <c r="AA30" s="1019" t="s">
        <v>2079</v>
      </c>
      <c r="AB30" s="1019" t="s">
        <v>2079</v>
      </c>
      <c r="AC30" s="1019" t="s">
        <v>2079</v>
      </c>
      <c r="AD30" s="1016"/>
    </row>
    <row customHeight="1" ht="18">
      <c r="A31" s="1015"/>
      <c r="B31" s="1069">
        <v>14</v>
      </c>
      <c r="C31" s="1013" t="s">
        <v>2080</v>
      </c>
      <c r="D31" s="1137"/>
      <c r="E31" s="1013"/>
      <c r="F31" s="1013"/>
      <c r="G31" s="1061"/>
      <c r="H31" s="1128"/>
      <c r="I31" s="1175" t="str">
        <f>INDEX(TEMPLATE_NUMBER_POINT_FHD,B31,MATCH(TEMPLATE_SPHERE,TEMPLATE_SPHERE_LIST_FOR_NOTE,0))</f>
        <v>2.4.1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2.4.1</v>
      </c>
      <c r="M31" s="1014" t="str">
        <f>IF(J31=0,"",J31)</f>
        <v>Расходы на оплату труда основного производственного персонала</v>
      </c>
      <c r="N31" s="1014" t="str">
        <f>IF(K31=0,"",K31)</f>
        <v/>
      </c>
      <c r="O31" s="1127" t="s">
        <v>2081</v>
      </c>
      <c r="P31" s="1127" t="s">
        <v>743</v>
      </c>
      <c r="Q31" s="1127" t="s">
        <v>2081</v>
      </c>
      <c r="R31" s="1127" t="s">
        <v>743</v>
      </c>
      <c r="S31" s="1127"/>
      <c r="T31" s="1135" t="s">
        <v>2082</v>
      </c>
      <c r="U31" s="1016" t="s">
        <v>2082</v>
      </c>
      <c r="V31" s="1016" t="s">
        <v>2082</v>
      </c>
      <c r="W31" s="1016" t="s">
        <v>2082</v>
      </c>
      <c r="X31" s="1013"/>
      <c r="Y31" s="1170"/>
      <c r="Z31" s="1016"/>
      <c r="AA31" s="1019"/>
      <c r="AB31" s="1019"/>
      <c r="AC31" s="1019"/>
      <c r="AD31" s="1016"/>
    </row>
    <row customHeight="1" ht="36">
      <c r="A32" s="1015"/>
      <c r="B32" s="1069">
        <v>15</v>
      </c>
      <c r="C32" s="1013" t="s">
        <v>2083</v>
      </c>
      <c r="D32" s="1137"/>
      <c r="E32" s="1013"/>
      <c r="F32" s="1013"/>
      <c r="G32" s="1061"/>
      <c r="H32" s="1128"/>
      <c r="I32" s="1175" t="str">
        <f>INDEX(TEMPLATE_NUMBER_POINT_FHD,B32,MATCH(TEMPLATE_SPHERE,TEMPLATE_SPHERE_LIST_FOR_NOTE,0))</f>
        <v>2.4.2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2.4.2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2084</v>
      </c>
      <c r="P32" s="1127" t="s">
        <v>745</v>
      </c>
      <c r="Q32" s="1127" t="s">
        <v>2084</v>
      </c>
      <c r="R32" s="1127" t="s">
        <v>745</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2085</v>
      </c>
      <c r="V32" s="1016" t="s">
        <v>2085</v>
      </c>
      <c r="W32" s="1016" t="s">
        <v>2085</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2.5</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2.5</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751</v>
      </c>
      <c r="P33" s="1127" t="s">
        <v>747</v>
      </c>
      <c r="Q33" s="1127" t="s">
        <v>751</v>
      </c>
      <c r="R33" s="1127" t="s">
        <v>747</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2086</v>
      </c>
      <c r="V33" s="1016" t="s">
        <v>2086</v>
      </c>
      <c r="W33" s="1016" t="s">
        <v>2087</v>
      </c>
      <c r="X33" s="1013"/>
      <c r="Y33" s="1170"/>
      <c r="Z33" s="1016"/>
      <c r="AA33" s="1019" t="s">
        <v>2088</v>
      </c>
      <c r="AB33" s="1019" t="s">
        <v>2088</v>
      </c>
      <c r="AC33" s="1019" t="s">
        <v>2088</v>
      </c>
      <c r="AD33" s="1016"/>
    </row>
    <row customHeight="1" ht="27">
      <c r="A34" s="1015"/>
      <c r="B34" s="1069">
        <v>17</v>
      </c>
      <c r="C34" s="1013" t="s">
        <v>2089</v>
      </c>
      <c r="D34" s="1137"/>
      <c r="E34" s="1013"/>
      <c r="F34" s="1013"/>
      <c r="G34" s="1061"/>
      <c r="H34" s="1128"/>
      <c r="I34" s="1175" t="str">
        <f>INDEX(TEMPLATE_NUMBER_POINT_FHD,B34,MATCH(TEMPLATE_SPHERE,TEMPLATE_SPHERE_LIST_FOR_NOTE,0))</f>
        <v>2.5.1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2.5.1</v>
      </c>
      <c r="M34" s="1014" t="str">
        <f>IF(J34=0,"",J34)</f>
        <v>Расходы на оплату труда административно-управленческого персонала</v>
      </c>
      <c r="N34" s="1014" t="str">
        <f>IF(K34=0,"",K34)</f>
        <v/>
      </c>
      <c r="O34" s="1127" t="s">
        <v>2090</v>
      </c>
      <c r="P34" s="1127" t="s">
        <v>2072</v>
      </c>
      <c r="Q34" s="1127" t="s">
        <v>2090</v>
      </c>
      <c r="R34" s="1127" t="s">
        <v>2072</v>
      </c>
      <c r="S34" s="1127"/>
      <c r="T34" s="1136" t="s">
        <v>2091</v>
      </c>
      <c r="U34" s="1016" t="s">
        <v>2091</v>
      </c>
      <c r="V34" s="1016" t="s">
        <v>2091</v>
      </c>
      <c r="W34" s="1016" t="s">
        <v>2092</v>
      </c>
      <c r="X34" s="1013"/>
      <c r="Y34" s="1170"/>
      <c r="Z34" s="1016"/>
      <c r="AA34" s="1019"/>
      <c r="AB34" s="1016"/>
      <c r="AC34" s="1016"/>
      <c r="AD34" s="1016"/>
    </row>
    <row customHeight="1" ht="45">
      <c r="A35" s="1015"/>
      <c r="B35" s="1069">
        <v>18</v>
      </c>
      <c r="C35" s="1013" t="s">
        <v>2093</v>
      </c>
      <c r="D35" s="1137"/>
      <c r="E35" s="1013"/>
      <c r="F35" s="1013"/>
      <c r="G35" s="1061"/>
      <c r="H35" s="1128"/>
      <c r="I35" s="1175" t="str">
        <f>INDEX(TEMPLATE_NUMBER_POINT_FHD,B35,MATCH(TEMPLATE_SPHERE,TEMPLATE_SPHERE_LIST_FOR_NOTE,0))</f>
        <v>2.5.2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2.5.2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2094</v>
      </c>
      <c r="P35" s="1127" t="s">
        <v>2074</v>
      </c>
      <c r="Q35" s="1127" t="s">
        <v>2094</v>
      </c>
      <c r="R35" s="1127" t="s">
        <v>2074</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2095</v>
      </c>
      <c r="V35" s="1016" t="s">
        <v>2095</v>
      </c>
      <c r="W35" s="1016" t="s">
        <v>2095</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2.6</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2.6</v>
      </c>
      <c r="M36" s="1014" t="str">
        <f>IF(J36=0,"",J36)</f>
        <v>Расходы на амортизацию основных средств и нематериальных активов</v>
      </c>
      <c r="N36" s="1014" t="str">
        <f>IF(K36=0,"",K36)</f>
        <v/>
      </c>
      <c r="O36" s="1127" t="s">
        <v>753</v>
      </c>
      <c r="P36" s="1127" t="s">
        <v>749</v>
      </c>
      <c r="Q36" s="1127" t="s">
        <v>753</v>
      </c>
      <c r="R36" s="1127" t="s">
        <v>749</v>
      </c>
      <c r="S36" s="1127"/>
      <c r="T36" s="1134" t="s">
        <v>2096</v>
      </c>
      <c r="U36" s="1016" t="s">
        <v>2096</v>
      </c>
      <c r="V36" s="1016" t="s">
        <v>2096</v>
      </c>
      <c r="W36" s="1016" t="s">
        <v>2096</v>
      </c>
      <c r="X36" s="1013"/>
      <c r="Y36" s="1170"/>
      <c r="Z36" s="1016"/>
      <c r="AA36" s="1019"/>
      <c r="AB36" s="1016"/>
      <c r="AC36" s="1016"/>
      <c r="AD36" s="1016"/>
    </row>
    <row customHeight="1" ht="18">
      <c r="A37" s="1015"/>
      <c r="B37" s="1069">
        <v>20</v>
      </c>
      <c r="C37" s="1013" t="s">
        <v>2097</v>
      </c>
      <c r="D37" s="1137"/>
      <c r="E37" s="1013"/>
      <c r="F37" s="1013"/>
      <c r="G37" s="1061"/>
      <c r="H37" s="1128"/>
      <c r="I37" s="1175" t="str">
        <f>INDEX(TEMPLATE_NUMBER_POINT_FHD,B37,MATCH(TEMPLATE_SPHERE,TEMPLATE_SPHERE_LIST_FOR_NOTE,0))</f>
        <v>2.6.1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2.6.1</v>
      </c>
      <c r="M37" s="1014" t="str">
        <f>IF(J37=0,"",J37)</f>
        <v>Расходы на амортизацию основных средств</v>
      </c>
      <c r="N37" s="1014" t="str">
        <f>IF(K37=0,"",K37)</f>
        <v/>
      </c>
      <c r="O37" s="1127" t="s">
        <v>2098</v>
      </c>
      <c r="P37" s="1127" t="s">
        <v>2081</v>
      </c>
      <c r="Q37" s="1127" t="s">
        <v>2098</v>
      </c>
      <c r="R37" s="1127" t="s">
        <v>2081</v>
      </c>
      <c r="S37" s="1127"/>
      <c r="T37" s="1134" t="s">
        <v>2099</v>
      </c>
      <c r="U37" s="1016" t="s">
        <v>2099</v>
      </c>
      <c r="V37" s="1016" t="s">
        <v>2099</v>
      </c>
      <c r="W37" s="1016" t="s">
        <v>2099</v>
      </c>
      <c r="X37" s="1013"/>
      <c r="Y37" s="1170"/>
      <c r="Z37" s="1016"/>
      <c r="AA37" s="1019"/>
      <c r="AB37" s="1016"/>
      <c r="AC37" s="1016"/>
      <c r="AD37" s="1016"/>
    </row>
    <row customHeight="1" ht="18">
      <c r="A38" s="1015"/>
      <c r="B38" s="1069">
        <v>21</v>
      </c>
      <c r="C38" s="1013" t="s">
        <v>2100</v>
      </c>
      <c r="D38" s="1137"/>
      <c r="E38" s="1013"/>
      <c r="F38" s="1013"/>
      <c r="G38" s="1061"/>
      <c r="H38" s="1128"/>
      <c r="I38" s="1175" t="str">
        <f>INDEX(TEMPLATE_NUMBER_POINT_FHD,B38,MATCH(TEMPLATE_SPHERE,TEMPLATE_SPHERE_LIST_FOR_NOTE,0))</f>
        <v>2.6.2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2.6.2</v>
      </c>
      <c r="M38" s="1014" t="str">
        <f>IF(J38=0,"",J38)</f>
        <v>Расходы на амортизацию нематериальных активов</v>
      </c>
      <c r="N38" s="1014" t="str">
        <f>IF(K38=0,"",K38)</f>
        <v/>
      </c>
      <c r="O38" s="1127" t="s">
        <v>2101</v>
      </c>
      <c r="P38" s="1127" t="s">
        <v>2084</v>
      </c>
      <c r="Q38" s="1127" t="s">
        <v>2101</v>
      </c>
      <c r="R38" s="1127" t="s">
        <v>2084</v>
      </c>
      <c r="S38" s="1127"/>
      <c r="T38" s="1134" t="s">
        <v>2102</v>
      </c>
      <c r="U38" s="1016" t="s">
        <v>2102</v>
      </c>
      <c r="V38" s="1016" t="s">
        <v>2102</v>
      </c>
      <c r="W38" s="1016" t="s">
        <v>2102</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2.7</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75">
        <f>INDEX(TEMPLATE_NOTE_POINT_FHD,B39,MATCH(TEMPLATE_SPHERE,TEMPLATE_SPHERE_LIST_FOR_NOTE,0))</f>
        <v>0</v>
      </c>
      <c r="L39" s="1014" t="str">
        <f>IF(I39=0,"",I39)</f>
        <v>2.7</v>
      </c>
      <c r="M39" s="1014" t="str">
        <f>IF(J39=0,"",J39)</f>
        <v>Расходы на аренду имущества, используемого для осуществления регулируемых видов деятельности в сфере холодного водоснабжения</v>
      </c>
      <c r="N39" s="1014" t="str">
        <f>IF(K39=0,"",K39)</f>
        <v/>
      </c>
      <c r="O39" s="1127" t="s">
        <v>757</v>
      </c>
      <c r="P39" s="1127" t="s">
        <v>751</v>
      </c>
      <c r="Q39" s="1127" t="s">
        <v>757</v>
      </c>
      <c r="R39" s="1127" t="s">
        <v>751</v>
      </c>
      <c r="S39" s="1127"/>
      <c r="T39" s="1134" t="s">
        <v>2103</v>
      </c>
      <c r="U39" s="1016" t="s">
        <v>2104</v>
      </c>
      <c r="V39" s="1016" t="s">
        <v>2105</v>
      </c>
      <c r="W39" s="1016" t="s">
        <v>2106</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2.8</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2.8</v>
      </c>
      <c r="M40" s="1014" t="str">
        <f>IF(J40=0,"",J40)</f>
        <v>Общепроизводственные расходы, в том числе:</v>
      </c>
      <c r="N40" s="1014" t="str">
        <f>IF(K40=0,"",K40)</f>
        <v>Указывается общая сумма общепроизводственных расходов.</v>
      </c>
      <c r="O40" s="1127" t="s">
        <v>2107</v>
      </c>
      <c r="P40" s="1127" t="s">
        <v>753</v>
      </c>
      <c r="Q40" s="1127" t="s">
        <v>2107</v>
      </c>
      <c r="R40" s="1127" t="s">
        <v>753</v>
      </c>
      <c r="S40" s="1127"/>
      <c r="T40" s="1013" t="s">
        <v>2108</v>
      </c>
      <c r="U40" s="1013" t="s">
        <v>2108</v>
      </c>
      <c r="V40" s="1013" t="s">
        <v>2108</v>
      </c>
      <c r="W40" s="1013" t="s">
        <v>2108</v>
      </c>
      <c r="X40" s="1013"/>
      <c r="Y40" s="1170"/>
      <c r="Z40" s="1016" t="s">
        <v>2109</v>
      </c>
      <c r="AA40" s="1019" t="s">
        <v>2109</v>
      </c>
      <c r="AB40" s="1019" t="s">
        <v>2109</v>
      </c>
      <c r="AC40" s="1019" t="s">
        <v>2109</v>
      </c>
      <c r="AD40" s="1016"/>
    </row>
    <row customHeight="1" ht="27">
      <c r="A41" s="1015"/>
      <c r="B41" s="1069">
        <v>24</v>
      </c>
      <c r="C41" s="1013" t="s">
        <v>2110</v>
      </c>
      <c r="D41" s="1137"/>
      <c r="E41" s="1013"/>
      <c r="F41" s="1013"/>
      <c r="G41" s="1013"/>
      <c r="H41" s="1061"/>
      <c r="I41" s="1175" t="str">
        <f>INDEX(TEMPLATE_NUMBER_POINT_FHD,B41,MATCH(TEMPLATE_SPHERE,TEMPLATE_SPHERE_LIST_FOR_NOTE,0))</f>
        <v>2.8.1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2.8.1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2111</v>
      </c>
      <c r="P41" s="1127" t="s">
        <v>2098</v>
      </c>
      <c r="Q41" s="1127" t="s">
        <v>2111</v>
      </c>
      <c r="R41" s="1127" t="s">
        <v>2098</v>
      </c>
      <c r="S41" s="1127"/>
      <c r="T41" s="1013" t="s">
        <v>2112</v>
      </c>
      <c r="U41" s="1013" t="s">
        <v>2112</v>
      </c>
      <c r="V41" s="1013" t="s">
        <v>2112</v>
      </c>
      <c r="W41" s="1013" t="s">
        <v>2112</v>
      </c>
      <c r="X41" s="1013"/>
      <c r="Y41" s="1170"/>
      <c r="Z41" s="1016" t="s">
        <v>2113</v>
      </c>
      <c r="AA41" s="1016" t="s">
        <v>2113</v>
      </c>
      <c r="AB41" s="1016" t="s">
        <v>2113</v>
      </c>
      <c r="AC41" s="1016" t="s">
        <v>2113</v>
      </c>
      <c r="AD41" s="1016"/>
    </row>
    <row customHeight="1" ht="27">
      <c r="A42" s="1015"/>
      <c r="B42" s="1069">
        <v>25</v>
      </c>
      <c r="C42" s="1013" t="s">
        <v>2114</v>
      </c>
      <c r="D42" s="1137"/>
      <c r="E42" s="1013"/>
      <c r="F42" s="1013"/>
      <c r="G42" s="1013"/>
      <c r="H42" s="1061"/>
      <c r="I42" s="1175" t="str">
        <f>INDEX(TEMPLATE_NUMBER_POINT_FHD,B42,MATCH(TEMPLATE_SPHERE,TEMPLATE_SPHERE_LIST_FOR_NOTE,0))</f>
        <v>2.8.2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2.8.2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2115</v>
      </c>
      <c r="P42" s="1127" t="s">
        <v>2101</v>
      </c>
      <c r="Q42" s="1127" t="s">
        <v>2115</v>
      </c>
      <c r="R42" s="1127" t="s">
        <v>2101</v>
      </c>
      <c r="S42" s="1127"/>
      <c r="T42" s="1013" t="s">
        <v>2116</v>
      </c>
      <c r="U42" s="1013" t="s">
        <v>2116</v>
      </c>
      <c r="V42" s="1013" t="s">
        <v>2116</v>
      </c>
      <c r="W42" s="1013" t="s">
        <v>2116</v>
      </c>
      <c r="X42" s="1013"/>
      <c r="Y42" s="1170"/>
      <c r="Z42" s="1016" t="s">
        <v>2117</v>
      </c>
      <c r="AA42" s="1016" t="s">
        <v>2117</v>
      </c>
      <c r="AB42" s="1016" t="s">
        <v>2117</v>
      </c>
      <c r="AC42" s="1016" t="s">
        <v>2117</v>
      </c>
      <c r="AD42" s="1016"/>
    </row>
    <row customHeight="1" ht="18">
      <c r="A43" s="1015"/>
      <c r="B43" s="1069">
        <v>26</v>
      </c>
      <c r="C43" s="1013">
        <v>14</v>
      </c>
      <c r="D43" s="1137"/>
      <c r="E43" s="1013"/>
      <c r="F43" s="1013"/>
      <c r="G43" s="1013"/>
      <c r="H43" s="1061"/>
      <c r="I43" s="1175" t="str">
        <f>INDEX(TEMPLATE_NUMBER_POINT_FHD,B43,MATCH(TEMPLATE_SPHERE,TEMPLATE_SPHERE_LIST_FOR_NOTE,0))</f>
        <v>2.9</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2.9</v>
      </c>
      <c r="M43" s="1014" t="str">
        <f>IF(J43=0,"",J43)</f>
        <v>Общехозяйственные расходы, в том числе:</v>
      </c>
      <c r="N43" s="1014" t="str">
        <f>IF(K43=0,"",K43)</f>
        <v>Указывается общая сумма общехозяйственных расходов.</v>
      </c>
      <c r="O43" s="1127" t="s">
        <v>2118</v>
      </c>
      <c r="P43" s="1127" t="s">
        <v>757</v>
      </c>
      <c r="Q43" s="1127" t="s">
        <v>2118</v>
      </c>
      <c r="R43" s="1127" t="s">
        <v>757</v>
      </c>
      <c r="S43" s="1127"/>
      <c r="T43" s="1013" t="s">
        <v>2119</v>
      </c>
      <c r="U43" s="1013" t="s">
        <v>2119</v>
      </c>
      <c r="V43" s="1013" t="s">
        <v>2119</v>
      </c>
      <c r="W43" s="1013" t="s">
        <v>2119</v>
      </c>
      <c r="X43" s="1013"/>
      <c r="Y43" s="1170"/>
      <c r="Z43" s="1016" t="s">
        <v>2120</v>
      </c>
      <c r="AA43" s="1016" t="s">
        <v>2120</v>
      </c>
      <c r="AB43" s="1016" t="s">
        <v>2120</v>
      </c>
      <c r="AC43" s="1016" t="s">
        <v>2120</v>
      </c>
      <c r="AD43" s="1016"/>
    </row>
    <row customHeight="1" ht="27">
      <c r="A44" s="1015"/>
      <c r="B44" s="1069">
        <v>27</v>
      </c>
      <c r="C44" s="1013" t="s">
        <v>2121</v>
      </c>
      <c r="D44" s="1137"/>
      <c r="E44" s="1013"/>
      <c r="F44" s="1013"/>
      <c r="G44" s="1013"/>
      <c r="H44" s="1061"/>
      <c r="I44" s="1175" t="str">
        <f>INDEX(TEMPLATE_NUMBER_POINT_FHD,B44,MATCH(TEMPLATE_SPHERE,TEMPLATE_SPHERE_LIST_FOR_NOTE,0))</f>
        <v>2.9.1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2.9.1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2122</v>
      </c>
      <c r="P44" s="1127" t="s">
        <v>2123</v>
      </c>
      <c r="Q44" s="1127" t="s">
        <v>2122</v>
      </c>
      <c r="R44" s="1127" t="s">
        <v>2123</v>
      </c>
      <c r="S44" s="1127"/>
      <c r="T44" s="1013" t="s">
        <v>2112</v>
      </c>
      <c r="U44" s="1013" t="s">
        <v>2112</v>
      </c>
      <c r="V44" s="1013" t="s">
        <v>2112</v>
      </c>
      <c r="W44" s="1013" t="s">
        <v>2112</v>
      </c>
      <c r="X44" s="1013"/>
      <c r="Y44" s="1170"/>
      <c r="Z44" s="1016" t="s">
        <v>2124</v>
      </c>
      <c r="AA44" s="1016" t="s">
        <v>2124</v>
      </c>
      <c r="AB44" s="1016" t="s">
        <v>2124</v>
      </c>
      <c r="AC44" s="1016" t="s">
        <v>2124</v>
      </c>
      <c r="AD44" s="1016"/>
    </row>
    <row customHeight="1" ht="27">
      <c r="A45" s="1015"/>
      <c r="B45" s="1069">
        <v>28</v>
      </c>
      <c r="C45" s="1013" t="s">
        <v>2125</v>
      </c>
      <c r="D45" s="1137"/>
      <c r="E45" s="1013"/>
      <c r="F45" s="1013"/>
      <c r="G45" s="1013"/>
      <c r="H45" s="1061"/>
      <c r="I45" s="1175" t="str">
        <f>INDEX(TEMPLATE_NUMBER_POINT_FHD,B45,MATCH(TEMPLATE_SPHERE,TEMPLATE_SPHERE_LIST_FOR_NOTE,0))</f>
        <v>2.9.2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2.9.2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2126</v>
      </c>
      <c r="P45" s="1127" t="s">
        <v>2127</v>
      </c>
      <c r="Q45" s="1127" t="s">
        <v>2126</v>
      </c>
      <c r="R45" s="1127" t="s">
        <v>2127</v>
      </c>
      <c r="S45" s="1127"/>
      <c r="T45" s="1013" t="s">
        <v>2116</v>
      </c>
      <c r="U45" s="1013" t="s">
        <v>2116</v>
      </c>
      <c r="V45" s="1013" t="s">
        <v>2116</v>
      </c>
      <c r="W45" s="1013" t="s">
        <v>2116</v>
      </c>
      <c r="X45" s="1013"/>
      <c r="Y45" s="1170"/>
      <c r="Z45" s="1016" t="s">
        <v>2128</v>
      </c>
      <c r="AA45" s="1016" t="s">
        <v>2128</v>
      </c>
      <c r="AB45" s="1016" t="s">
        <v>2128</v>
      </c>
      <c r="AC45" s="1016" t="s">
        <v>2128</v>
      </c>
      <c r="AD45" s="1016"/>
    </row>
    <row customHeight="1" ht="54">
      <c r="A46" s="1015"/>
      <c r="B46" s="1069">
        <v>29</v>
      </c>
      <c r="C46" s="1013">
        <v>15</v>
      </c>
      <c r="D46" s="1137"/>
      <c r="E46" s="1013"/>
      <c r="F46" s="1013"/>
      <c r="G46" s="1013"/>
      <c r="H46" s="1061"/>
      <c r="I46" s="1175" t="str">
        <f>INDEX(TEMPLATE_NUMBER_POINT_FHD,B46,MATCH(TEMPLATE_SPHERE,TEMPLATE_SPHERE_LIST_FOR_NOTE,0))</f>
        <v>2.10</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2.10</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2129</v>
      </c>
      <c r="P46" s="1127" t="s">
        <v>2107</v>
      </c>
      <c r="Q46" s="1127" t="s">
        <v>2129</v>
      </c>
      <c r="R46" s="1127" t="s">
        <v>2107</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2130</v>
      </c>
      <c r="V46" s="1013" t="s">
        <v>2130</v>
      </c>
      <c r="W46" s="1013" t="s">
        <v>2130</v>
      </c>
      <c r="X46" s="1013"/>
      <c r="Y46" s="1170"/>
      <c r="Z46" s="1016" t="s">
        <v>2131</v>
      </c>
      <c r="AA46" s="1016" t="s">
        <v>2132</v>
      </c>
      <c r="AB46" s="1016" t="s">
        <v>2132</v>
      </c>
      <c r="AC46" s="1016" t="s">
        <v>2132</v>
      </c>
      <c r="AD46" s="1016"/>
    </row>
    <row customHeight="1" ht="54">
      <c r="A47" s="1015"/>
      <c r="B47" s="1069">
        <v>30</v>
      </c>
      <c r="C47" s="1013" t="s">
        <v>2133</v>
      </c>
      <c r="D47" s="1137"/>
      <c r="E47" s="1013"/>
      <c r="F47" s="1013"/>
      <c r="G47" s="1013"/>
      <c r="H47" s="1061"/>
      <c r="I47" s="1175" t="str">
        <f>INDEX(TEMPLATE_NUMBER_POINT_FHD,B47,MATCH(TEMPLATE_SPHERE,TEMPLATE_SPHERE_LIST_FOR_NOTE,0))</f>
        <v>2.10.1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2.10.1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2134</v>
      </c>
      <c r="P47" s="1127" t="s">
        <v>2111</v>
      </c>
      <c r="Q47" s="1127" t="s">
        <v>2134</v>
      </c>
      <c r="R47" s="1127" t="s">
        <v>2111</v>
      </c>
      <c r="S47" s="1127"/>
      <c r="T47" s="1013" t="s">
        <v>2135</v>
      </c>
      <c r="U47" s="1013" t="s">
        <v>2135</v>
      </c>
      <c r="V47" s="1013" t="s">
        <v>2135</v>
      </c>
      <c r="W47" s="1013" t="s">
        <v>2135</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2.11</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2.11</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2118</v>
      </c>
      <c r="Q48" s="1127" t="s">
        <v>2136</v>
      </c>
      <c r="R48" s="1127" t="s">
        <v>2118</v>
      </c>
      <c r="S48" s="1127"/>
      <c r="T48" s="1013"/>
      <c r="U48" s="1013" t="s">
        <v>2137</v>
      </c>
      <c r="V48" s="1013" t="s">
        <v>2138</v>
      </c>
      <c r="W48" s="1013" t="s">
        <v>2138</v>
      </c>
      <c r="X48" s="1013"/>
      <c r="Y48" s="1170"/>
      <c r="Z48" s="1016"/>
      <c r="AA48" s="1019" t="s">
        <v>2132</v>
      </c>
      <c r="AB48" s="1019" t="s">
        <v>2132</v>
      </c>
      <c r="AC48" s="1019" t="s">
        <v>2132</v>
      </c>
      <c r="AD48" s="1016"/>
    </row>
    <row customHeight="1" ht="54">
      <c r="A49" s="1015"/>
      <c r="B49" s="1069">
        <v>32</v>
      </c>
      <c r="C49" s="1013" t="s">
        <v>2139</v>
      </c>
      <c r="D49" s="1137"/>
      <c r="E49" s="1013"/>
      <c r="F49" s="1013"/>
      <c r="G49" s="1013"/>
      <c r="H49" s="1061"/>
      <c r="I49" s="1175" t="str">
        <f>INDEX(TEMPLATE_NUMBER_POINT_FHD,B49,MATCH(TEMPLATE_SPHERE,TEMPLATE_SPHERE_LIST_FOR_NOTE,0))</f>
        <v>2.11.1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2.11.1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2122</v>
      </c>
      <c r="Q49" s="1127" t="s">
        <v>2140</v>
      </c>
      <c r="R49" s="1127" t="s">
        <v>2122</v>
      </c>
      <c r="S49" s="1127"/>
      <c r="T49" s="1013"/>
      <c r="U49" s="1013" t="s">
        <v>2135</v>
      </c>
      <c r="V49" s="1013" t="s">
        <v>2135</v>
      </c>
      <c r="W49" s="1013" t="s">
        <v>2135</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2.12</v>
      </c>
      <c r="J50" s="117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2.12</v>
      </c>
      <c r="M50" s="101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2136</v>
      </c>
      <c r="P50" s="1127" t="s">
        <v>2129</v>
      </c>
      <c r="Q50" s="1127" t="s">
        <v>2141</v>
      </c>
      <c r="R50" s="1127" t="s">
        <v>2129</v>
      </c>
      <c r="S50" s="1127"/>
      <c r="T50" s="1013" t="s">
        <v>2142</v>
      </c>
      <c r="U50" s="1013" t="s">
        <v>2143</v>
      </c>
      <c r="V50" s="1013" t="s">
        <v>2144</v>
      </c>
      <c r="W50" s="1013" t="s">
        <v>2145</v>
      </c>
      <c r="X50" s="1013"/>
      <c r="Y50" s="1170"/>
      <c r="Z50" s="1016" t="s">
        <v>2146</v>
      </c>
      <c r="AA50" s="1019" t="s">
        <v>2147</v>
      </c>
      <c r="AB50" s="1019" t="s">
        <v>2147</v>
      </c>
      <c r="AC50" s="1019" t="s">
        <v>2147</v>
      </c>
      <c r="AD50" s="1016"/>
    </row>
    <row customHeight="1" ht="27">
      <c r="A51" s="1015"/>
      <c r="B51" s="1069">
        <v>34</v>
      </c>
      <c r="C51" s="1013" t="s">
        <v>2148</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89</v>
      </c>
      <c r="P51" s="1127"/>
      <c r="Q51" s="1127"/>
      <c r="R51" s="1127"/>
      <c r="S51" s="1127"/>
      <c r="T51" s="1013" t="s">
        <v>2149</v>
      </c>
      <c r="U51" s="1013"/>
      <c r="V51" s="1013"/>
      <c r="W51" s="1013"/>
      <c r="X51" s="1013"/>
      <c r="Y51" s="1170"/>
      <c r="Z51" s="1016"/>
      <c r="AA51" s="1019"/>
      <c r="AB51" s="1019"/>
      <c r="AC51" s="1019"/>
      <c r="AD51" s="1016"/>
    </row>
    <row customHeight="1" ht="36">
      <c r="A52" s="1015"/>
      <c r="B52" s="1069">
        <v>35</v>
      </c>
      <c r="C52" s="1013" t="s">
        <v>2042</v>
      </c>
      <c r="D52" s="1137" t="s">
        <v>2042</v>
      </c>
      <c r="E52" s="1013" t="s">
        <v>2042</v>
      </c>
      <c r="F52" s="1013" t="s">
        <v>2042</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холодного водоснабжения, в том числе:</v>
      </c>
      <c r="N52" s="1014" t="str">
        <f>IF(K52=0,"",K52)</f>
        <v>Указывается общая сумма чистой прибыли, полученной от регулируемого вида деятельности.</v>
      </c>
      <c r="O52" s="1127" t="s">
        <v>90</v>
      </c>
      <c r="P52" s="1127" t="s">
        <v>89</v>
      </c>
      <c r="Q52" s="1127" t="s">
        <v>89</v>
      </c>
      <c r="R52" s="1127" t="s">
        <v>89</v>
      </c>
      <c r="S52" s="1127"/>
      <c r="T52" s="1013" t="s">
        <v>2150</v>
      </c>
      <c r="U52" s="1013" t="s">
        <v>2151</v>
      </c>
      <c r="V52" s="1013" t="s">
        <v>2152</v>
      </c>
      <c r="W52" s="1013" t="s">
        <v>2153</v>
      </c>
      <c r="X52" s="1013"/>
      <c r="Y52" s="1170"/>
      <c r="Z52" s="1016" t="s">
        <v>761</v>
      </c>
      <c r="AA52" s="1019" t="s">
        <v>761</v>
      </c>
      <c r="AB52" s="1019" t="s">
        <v>761</v>
      </c>
      <c r="AC52" s="1019" t="s">
        <v>761</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765</v>
      </c>
      <c r="P53" s="1127" t="s">
        <v>327</v>
      </c>
      <c r="Q53" s="1127" t="s">
        <v>327</v>
      </c>
      <c r="R53" s="1127" t="s">
        <v>327</v>
      </c>
      <c r="S53" s="1127"/>
      <c r="T53" s="1013" t="s">
        <v>2154</v>
      </c>
      <c r="U53" s="1013" t="s">
        <v>2154</v>
      </c>
      <c r="V53" s="1013" t="s">
        <v>2154</v>
      </c>
      <c r="W53" s="1013" t="s">
        <v>2154</v>
      </c>
      <c r="X53" s="1013"/>
      <c r="Y53" s="1170"/>
      <c r="Z53" s="1016"/>
      <c r="AA53" s="1019"/>
      <c r="AB53" s="1016"/>
      <c r="AC53" s="1016"/>
      <c r="AD53" s="1016"/>
    </row>
    <row customHeight="1" ht="18">
      <c r="A54" s="1015"/>
      <c r="B54" s="1069">
        <v>37</v>
      </c>
      <c r="C54" s="1013" t="s">
        <v>2048</v>
      </c>
      <c r="D54" s="1137" t="s">
        <v>2048</v>
      </c>
      <c r="E54" s="1013" t="s">
        <v>2048</v>
      </c>
      <c r="F54" s="1013" t="s">
        <v>2048</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110</v>
      </c>
      <c r="P54" s="1127" t="s">
        <v>90</v>
      </c>
      <c r="Q54" s="1127" t="s">
        <v>90</v>
      </c>
      <c r="R54" s="1127" t="s">
        <v>90</v>
      </c>
      <c r="S54" s="1127"/>
      <c r="T54" s="1013" t="s">
        <v>763</v>
      </c>
      <c r="U54" s="1013" t="s">
        <v>763</v>
      </c>
      <c r="V54" s="1013" t="s">
        <v>763</v>
      </c>
      <c r="W54" s="1013" t="s">
        <v>763</v>
      </c>
      <c r="X54" s="1013"/>
      <c r="Y54" s="1170"/>
      <c r="Z54" s="1016" t="s">
        <v>764</v>
      </c>
      <c r="AA54" s="1016" t="s">
        <v>764</v>
      </c>
      <c r="AB54" s="1016" t="s">
        <v>764</v>
      </c>
      <c r="AC54" s="1016" t="s">
        <v>764</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316</v>
      </c>
      <c r="P55" s="1127" t="s">
        <v>765</v>
      </c>
      <c r="Q55" s="1127" t="s">
        <v>765</v>
      </c>
      <c r="R55" s="1127" t="s">
        <v>765</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2155</v>
      </c>
      <c r="V55" s="1013" t="s">
        <v>2155</v>
      </c>
      <c r="W55" s="1013" t="s">
        <v>2155</v>
      </c>
      <c r="X55" s="1013"/>
      <c r="Y55" s="1170"/>
      <c r="Z55" s="1016" t="s">
        <v>2156</v>
      </c>
      <c r="AA55" s="1016" t="s">
        <v>2156</v>
      </c>
      <c r="AB55" s="1016" t="s">
        <v>2156</v>
      </c>
      <c r="AC55" s="1016" t="s">
        <v>2156</v>
      </c>
      <c r="AD55" s="1016"/>
    </row>
    <row customHeight="1" ht="27">
      <c r="A56" s="1015"/>
      <c r="B56" s="1069">
        <v>39</v>
      </c>
      <c r="C56" s="1013" t="s">
        <v>1033</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1150</v>
      </c>
      <c r="P56" s="1127" t="s">
        <v>768</v>
      </c>
      <c r="Q56" s="1127" t="s">
        <v>768</v>
      </c>
      <c r="R56" s="1127" t="s">
        <v>768</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2157</v>
      </c>
      <c r="V56" s="1013" t="s">
        <v>2157</v>
      </c>
      <c r="W56" s="1013" t="s">
        <v>2157</v>
      </c>
      <c r="X56" s="1013"/>
      <c r="Y56" s="1170"/>
      <c r="Z56" s="1016" t="s">
        <v>770</v>
      </c>
      <c r="AA56" s="1016" t="s">
        <v>770</v>
      </c>
      <c r="AB56" s="1016" t="s">
        <v>770</v>
      </c>
      <c r="AC56" s="1016" t="s">
        <v>770</v>
      </c>
      <c r="AD56" s="1016"/>
    </row>
    <row customHeight="1" ht="27">
      <c r="A57" s="1015"/>
      <c r="B57" s="1069">
        <v>40</v>
      </c>
      <c r="C57" s="1013" t="s">
        <v>1035</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2158</v>
      </c>
      <c r="P57" s="1127" t="s">
        <v>771</v>
      </c>
      <c r="Q57" s="1127" t="s">
        <v>771</v>
      </c>
      <c r="R57" s="1127" t="s">
        <v>771</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2159</v>
      </c>
      <c r="V57" s="1013" t="s">
        <v>2159</v>
      </c>
      <c r="W57" s="1013" t="s">
        <v>2159</v>
      </c>
      <c r="X57" s="1013"/>
      <c r="Y57" s="1170"/>
      <c r="Z57" s="1016" t="s">
        <v>773</v>
      </c>
      <c r="AA57" s="1016" t="s">
        <v>773</v>
      </c>
      <c r="AB57" s="1016" t="s">
        <v>773</v>
      </c>
      <c r="AC57" s="1016" t="s">
        <v>773</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893</v>
      </c>
      <c r="P58" s="1127" t="s">
        <v>807</v>
      </c>
      <c r="Q58" s="1127" t="s">
        <v>807</v>
      </c>
      <c r="R58" s="1127" t="s">
        <v>807</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2160</v>
      </c>
      <c r="V58" s="1013" t="s">
        <v>2160</v>
      </c>
      <c r="W58" s="1013" t="s">
        <v>2160</v>
      </c>
      <c r="X58" s="1013"/>
      <c r="Y58" s="1170"/>
      <c r="Z58" s="1016"/>
      <c r="AA58" s="1019"/>
      <c r="AB58" s="1016"/>
      <c r="AC58" s="1016"/>
      <c r="AD58" s="1016"/>
    </row>
    <row customHeight="1" ht="36">
      <c r="A59" s="1015"/>
      <c r="B59" s="1069">
        <v>42</v>
      </c>
      <c r="C59" s="1013">
        <v>3</v>
      </c>
      <c r="D59" s="1137" t="s">
        <v>2148</v>
      </c>
      <c r="E59" s="1013" t="s">
        <v>2148</v>
      </c>
      <c r="F59" s="1013" t="s">
        <v>2148</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холодного водоснабжения</v>
      </c>
      <c r="N59" s="1014" t="str">
        <f>IF(K59=0,"",K59)</f>
        <v/>
      </c>
      <c r="O59" s="1127"/>
      <c r="P59" s="1127" t="s">
        <v>110</v>
      </c>
      <c r="Q59" s="1127" t="s">
        <v>110</v>
      </c>
      <c r="R59" s="1127" t="s">
        <v>110</v>
      </c>
      <c r="S59" s="1127"/>
      <c r="T59" s="1013"/>
      <c r="U59" s="1013" t="s">
        <v>2161</v>
      </c>
      <c r="V59" s="1013" t="s">
        <v>2162</v>
      </c>
      <c r="W59" s="1013" t="s">
        <v>2163</v>
      </c>
      <c r="X59" s="1013"/>
      <c r="Y59" s="1170"/>
      <c r="Z59" s="1016"/>
      <c r="AA59" s="1019"/>
      <c r="AB59" s="1016"/>
      <c r="AC59" s="1016"/>
      <c r="AD59" s="1016"/>
    </row>
    <row customHeight="1" ht="81">
      <c r="A60" s="1015"/>
      <c r="B60" s="1069">
        <v>43</v>
      </c>
      <c r="C60" s="1013" t="s">
        <v>2164</v>
      </c>
      <c r="D60" s="1137" t="s">
        <v>2164</v>
      </c>
      <c r="E60" s="1013" t="s">
        <v>2164</v>
      </c>
      <c r="F60" s="1013" t="s">
        <v>2164</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27" t="s">
        <v>91</v>
      </c>
      <c r="P60" s="1127" t="s">
        <v>91</v>
      </c>
      <c r="Q60" s="1127" t="s">
        <v>91</v>
      </c>
      <c r="R60" s="1127" t="s">
        <v>91</v>
      </c>
      <c r="S60" s="1127"/>
      <c r="T60" s="1013" t="s">
        <v>641</v>
      </c>
      <c r="U60" s="1013" t="s">
        <v>641</v>
      </c>
      <c r="V60" s="1013" t="s">
        <v>641</v>
      </c>
      <c r="W60" s="1013" t="s">
        <v>641</v>
      </c>
      <c r="X60" s="1013"/>
      <c r="Y60" s="1170"/>
      <c r="Z60" s="1016" t="s">
        <v>2165</v>
      </c>
      <c r="AA60" s="1019" t="s">
        <v>2166</v>
      </c>
      <c r="AB60" s="1016" t="s">
        <v>2167</v>
      </c>
      <c r="AC60" s="1016" t="s">
        <v>2166</v>
      </c>
      <c r="AD60" s="1016"/>
    </row>
    <row customHeight="1" ht="9">
      <c r="A61" s="1015"/>
      <c r="B61" s="1069">
        <v>44</v>
      </c>
      <c r="C61" s="1013"/>
      <c r="D61" s="1137" t="s">
        <v>2168</v>
      </c>
      <c r="E61" s="1013"/>
      <c r="F61" s="1013"/>
      <c r="G61" s="1013"/>
      <c r="H61" s="1061"/>
      <c r="I61" s="1175" t="str">
        <f>INDEX(TEMPLATE_NUMBER_POINT_FHD,B61,MATCH(TEMPLATE_SPHERE,TEMPLATE_SPHERE_LIST_FOR_NOTE,0))</f>
        <v>7</v>
      </c>
      <c r="J61" s="1175" t="str">
        <f>INDEX(TEMPLATE_DATA_POINT_FHD,B61,MATCH(TEMPLATE_SPHERE,TEMPLATE_SPHERE_LIST_FOR_NOTE,0))</f>
        <v>Объём поднятой воды</v>
      </c>
      <c r="K61" s="1175">
        <f>INDEX(TEMPLATE_NOTE_POINT_FHD,B61,MATCH(TEMPLATE_SPHERE,TEMPLATE_SPHERE_LIST_FOR_NOTE,0))</f>
        <v>0</v>
      </c>
      <c r="L61" s="1014" t="str">
        <f>IF(I61=0,"",I61)</f>
        <v>7</v>
      </c>
      <c r="M61" s="1014" t="str">
        <f>IF(J61=0,"",J61)</f>
        <v>Объём поднятой воды</v>
      </c>
      <c r="N61" s="1014" t="str">
        <f>IF(K61=0,"",K61)</f>
        <v/>
      </c>
      <c r="O61" s="1127"/>
      <c r="P61" s="1127" t="s">
        <v>92</v>
      </c>
      <c r="Q61" s="1127"/>
      <c r="R61" s="1127"/>
      <c r="S61" s="1127"/>
      <c r="T61" s="1013"/>
      <c r="U61" s="1013" t="s">
        <v>2169</v>
      </c>
      <c r="V61" s="1013"/>
      <c r="W61" s="1013"/>
      <c r="X61" s="1013"/>
      <c r="Y61" s="1170"/>
      <c r="Z61" s="1016"/>
      <c r="AA61" s="1019"/>
      <c r="AB61" s="1016"/>
      <c r="AC61" s="1016"/>
      <c r="AD61" s="1016"/>
    </row>
    <row customHeight="1" ht="9">
      <c r="A62" s="1015"/>
      <c r="B62" s="1069">
        <v>45</v>
      </c>
      <c r="C62" s="1013"/>
      <c r="D62" s="1137" t="s">
        <v>2170</v>
      </c>
      <c r="E62" s="1013"/>
      <c r="F62" s="1013"/>
      <c r="G62" s="1013"/>
      <c r="H62" s="1061"/>
      <c r="I62" s="1175" t="str">
        <f>INDEX(TEMPLATE_NUMBER_POINT_FHD,B62,MATCH(TEMPLATE_SPHERE,TEMPLATE_SPHERE_LIST_FOR_NOTE,0))</f>
        <v>8</v>
      </c>
      <c r="J62" s="1175" t="str">
        <f>INDEX(TEMPLATE_DATA_POINT_FHD,B62,MATCH(TEMPLATE_SPHERE,TEMPLATE_SPHERE_LIST_FOR_NOTE,0))</f>
        <v>Объём покупной воды</v>
      </c>
      <c r="K62" s="1175">
        <f>INDEX(TEMPLATE_NOTE_POINT_FHD,B62,MATCH(TEMPLATE_SPHERE,TEMPLATE_SPHERE_LIST_FOR_NOTE,0))</f>
        <v>0</v>
      </c>
      <c r="L62" s="1014" t="str">
        <f>IF(I62=0,"",I62)</f>
        <v>8</v>
      </c>
      <c r="M62" s="1014" t="str">
        <f>IF(J62=0,"",J62)</f>
        <v>Объём покупной воды</v>
      </c>
      <c r="N62" s="1014" t="str">
        <f>IF(K62=0,"",K62)</f>
        <v/>
      </c>
      <c r="O62" s="1127"/>
      <c r="P62" s="1127" t="s">
        <v>111</v>
      </c>
      <c r="Q62" s="1127"/>
      <c r="R62" s="1127"/>
      <c r="S62" s="1127"/>
      <c r="T62" s="1013"/>
      <c r="U62" s="1013" t="s">
        <v>2171</v>
      </c>
      <c r="V62" s="1013"/>
      <c r="W62" s="1013"/>
      <c r="X62" s="1013"/>
      <c r="Y62" s="1170"/>
      <c r="Z62" s="1016"/>
      <c r="AA62" s="1019"/>
      <c r="AB62" s="1016"/>
      <c r="AC62" s="1016"/>
      <c r="AD62" s="1016"/>
    </row>
    <row customHeight="1" ht="18">
      <c r="A63" s="1015"/>
      <c r="B63" s="1069">
        <v>46</v>
      </c>
      <c r="C63" s="1013"/>
      <c r="D63" s="1137" t="s">
        <v>2172</v>
      </c>
      <c r="E63" s="1013"/>
      <c r="F63" s="1013"/>
      <c r="G63" s="1013"/>
      <c r="H63" s="1061"/>
      <c r="I63" s="1175" t="str">
        <f>INDEX(TEMPLATE_NUMBER_POINT_FHD,B63,MATCH(TEMPLATE_SPHERE,TEMPLATE_SPHERE_LIST_FOR_NOTE,0))</f>
        <v>9</v>
      </c>
      <c r="J63" s="1175" t="str">
        <f>INDEX(TEMPLATE_DATA_POINT_FHD,B63,MATCH(TEMPLATE_SPHERE,TEMPLATE_SPHERE_LIST_FOR_NOTE,0))</f>
        <v>Объём воды, пропущенной через очистные сооружения</v>
      </c>
      <c r="K63" s="1175">
        <f>INDEX(TEMPLATE_NOTE_POINT_FHD,B63,MATCH(TEMPLATE_SPHERE,TEMPLATE_SPHERE_LIST_FOR_NOTE,0))</f>
        <v>0</v>
      </c>
      <c r="L63" s="1014" t="str">
        <f>IF(I63=0,"",I63)</f>
        <v>9</v>
      </c>
      <c r="M63" s="1014" t="str">
        <f>IF(J63=0,"",J63)</f>
        <v>Объём воды, пропущенной через очистные сооружения</v>
      </c>
      <c r="N63" s="1014" t="str">
        <f>IF(K63=0,"",K63)</f>
        <v/>
      </c>
      <c r="O63" s="1127"/>
      <c r="P63" s="1127" t="s">
        <v>147</v>
      </c>
      <c r="Q63" s="1127"/>
      <c r="R63" s="1127"/>
      <c r="S63" s="1127"/>
      <c r="T63" s="1013"/>
      <c r="U63" s="1013" t="s">
        <v>2173</v>
      </c>
      <c r="V63" s="1013"/>
      <c r="W63" s="1013"/>
      <c r="X63" s="1013"/>
      <c r="Y63" s="1170"/>
      <c r="Z63" s="1016"/>
      <c r="AA63" s="1019"/>
      <c r="AB63" s="1016"/>
      <c r="AC63" s="1016"/>
      <c r="AD63" s="1016"/>
    </row>
    <row customHeight="1" ht="18">
      <c r="A64" s="1015"/>
      <c r="B64" s="1069">
        <v>47</v>
      </c>
      <c r="C64" s="1013"/>
      <c r="D64" s="1137" t="s">
        <v>2174</v>
      </c>
      <c r="E64" s="1013"/>
      <c r="F64" s="1013"/>
      <c r="G64" s="1013"/>
      <c r="H64" s="1061"/>
      <c r="I64" s="1175" t="str">
        <f>INDEX(TEMPLATE_NUMBER_POINT_FHD,B64,MATCH(TEMPLATE_SPHERE,TEMPLATE_SPHERE_LIST_FOR_NOTE,0))</f>
        <v>10</v>
      </c>
      <c r="J64" s="1175" t="str">
        <f>INDEX(TEMPLATE_DATA_POINT_FHD,B64,MATCH(TEMPLATE_SPHERE,TEMPLATE_SPHERE_LIST_FOR_NOTE,0))</f>
        <v>Объём отпущенной потребителям воды, в том числе:</v>
      </c>
      <c r="K64" s="1175" t="str">
        <f>INDEX(TEMPLATE_NOTE_POINT_FHD,B64,MATCH(TEMPLATE_SPHERE,TEMPLATE_SPHERE_LIST_FOR_NOTE,0))</f>
        <v>Указывается общий объем отпущенной потребителям воды.</v>
      </c>
      <c r="L64" s="1014" t="str">
        <f>IF(I64=0,"",I64)</f>
        <v>10</v>
      </c>
      <c r="M64" s="1014" t="str">
        <f>IF(J64=0,"",J64)</f>
        <v>Объём отпущенной потребителям воды, в том числе:</v>
      </c>
      <c r="N64" s="1014" t="str">
        <f>IF(K64=0,"",K64)</f>
        <v>Указывается общий объем отпущенной потребителям воды.</v>
      </c>
      <c r="O64" s="1127"/>
      <c r="P64" s="1127" t="s">
        <v>148</v>
      </c>
      <c r="Q64" s="1127"/>
      <c r="R64" s="1127"/>
      <c r="S64" s="1127"/>
      <c r="T64" s="1013"/>
      <c r="U64" s="1013" t="s">
        <v>2175</v>
      </c>
      <c r="V64" s="1013"/>
      <c r="W64" s="1013"/>
      <c r="X64" s="1013"/>
      <c r="Y64" s="1170"/>
      <c r="Z64" s="1016"/>
      <c r="AA64" s="1019" t="s">
        <v>2176</v>
      </c>
      <c r="AB64" s="1016"/>
      <c r="AC64" s="1016"/>
      <c r="AD64" s="1016"/>
    </row>
    <row customHeight="1" ht="18">
      <c r="A65" s="1015"/>
      <c r="B65" s="1069">
        <v>48</v>
      </c>
      <c r="C65" s="1013"/>
      <c r="D65" s="1137"/>
      <c r="E65" s="1013"/>
      <c r="F65" s="1013"/>
      <c r="G65" s="1013"/>
      <c r="H65" s="1061"/>
      <c r="I65" s="1175" t="str">
        <f>INDEX(TEMPLATE_NUMBER_POINT_FHD,B65,MATCH(TEMPLATE_SPHERE,TEMPLATE_SPHERE_LIST_FOR_NOTE,0))</f>
        <v>10.1</v>
      </c>
      <c r="J65" s="1175" t="str">
        <f>INDEX(TEMPLATE_DATA_POINT_FHD,B65,MATCH(TEMPLATE_SPHERE,TEMPLATE_SPHERE_LIST_FOR_NOTE,0))</f>
        <v>Объём отпущенной потребителям воды, определенный по приборам учета</v>
      </c>
      <c r="K65" s="1175">
        <f>INDEX(TEMPLATE_NOTE_POINT_FHD,B65,MATCH(TEMPLATE_SPHERE,TEMPLATE_SPHERE_LIST_FOR_NOTE,0))</f>
        <v>0</v>
      </c>
      <c r="L65" s="1014" t="str">
        <f>IF(I65=0,"",I65)</f>
        <v>10.1</v>
      </c>
      <c r="M65" s="1014" t="str">
        <f>IF(J65=0,"",J65)</f>
        <v>Объём отпущенной потребителям воды, определенный по приборам учета</v>
      </c>
      <c r="N65" s="1014" t="str">
        <f>IF(K65=0,"",K65)</f>
        <v/>
      </c>
      <c r="O65" s="1127"/>
      <c r="P65" s="1127" t="s">
        <v>2089</v>
      </c>
      <c r="Q65" s="1127"/>
      <c r="R65" s="1127"/>
      <c r="S65" s="1127"/>
      <c r="T65" s="1013"/>
      <c r="U65" s="1013" t="s">
        <v>2177</v>
      </c>
      <c r="V65" s="1013"/>
      <c r="W65" s="1013"/>
      <c r="X65" s="1013"/>
      <c r="Y65" s="1170"/>
      <c r="Z65" s="1016"/>
      <c r="AA65" s="1019"/>
      <c r="AB65" s="1016"/>
      <c r="AC65" s="1016"/>
      <c r="AD65" s="1016"/>
    </row>
    <row customHeight="1" ht="18">
      <c r="A66" s="1015"/>
      <c r="B66" s="1069">
        <v>49</v>
      </c>
      <c r="C66" s="1013"/>
      <c r="D66" s="1137"/>
      <c r="E66" s="1013"/>
      <c r="F66" s="1013"/>
      <c r="G66" s="1013"/>
      <c r="H66" s="1061"/>
      <c r="I66" s="1175" t="str">
        <f>INDEX(TEMPLATE_NUMBER_POINT_FHD,B66,MATCH(TEMPLATE_SPHERE,TEMPLATE_SPHERE_LIST_FOR_NOTE,0))</f>
        <v>10.2</v>
      </c>
      <c r="J66" s="1175" t="str">
        <f>INDEX(TEMPLATE_DATA_POINT_FHD,B66,MATCH(TEMPLATE_SPHERE,TEMPLATE_SPHERE_LIST_FOR_NOTE,0))</f>
        <v>Объём отпущенной потребителям воды, определенный расчетным способом</v>
      </c>
      <c r="K66" s="1175">
        <f>INDEX(TEMPLATE_NOTE_POINT_FHD,B66,MATCH(TEMPLATE_SPHERE,TEMPLATE_SPHERE_LIST_FOR_NOTE,0))</f>
        <v>0</v>
      </c>
      <c r="L66" s="1014" t="str">
        <f>IF(I66=0,"",I66)</f>
        <v>10.2</v>
      </c>
      <c r="M66" s="1014" t="str">
        <f>IF(J66=0,"",J66)</f>
        <v>Объём отпущенной потребителям воды, определенный расчетным способом</v>
      </c>
      <c r="N66" s="1014" t="str">
        <f>IF(K66=0,"",K66)</f>
        <v/>
      </c>
      <c r="O66" s="1127"/>
      <c r="P66" s="1127" t="s">
        <v>2093</v>
      </c>
      <c r="Q66" s="1127"/>
      <c r="R66" s="1127"/>
      <c r="S66" s="1127"/>
      <c r="T66" s="1013"/>
      <c r="U66" s="1013" t="s">
        <v>2178</v>
      </c>
      <c r="V66" s="1013"/>
      <c r="W66" s="1013"/>
      <c r="X66" s="1013"/>
      <c r="Y66" s="1170"/>
      <c r="Z66" s="1016"/>
      <c r="AA66" s="1019"/>
      <c r="AB66" s="1016"/>
      <c r="AC66" s="1016"/>
      <c r="AD66" s="1016"/>
    </row>
    <row customHeight="1" ht="27">
      <c r="A67" s="1015"/>
      <c r="B67" s="1069">
        <v>50</v>
      </c>
      <c r="C67" s="1013"/>
      <c r="D67" s="1137"/>
      <c r="E67" s="1013"/>
      <c r="F67" s="1013"/>
      <c r="G67" s="1013"/>
      <c r="H67" s="1061"/>
      <c r="I67" s="1175" t="str">
        <f>INDEX(TEMPLATE_NUMBER_POINT_FHD,B67,MATCH(TEMPLATE_SPHERE,TEMPLATE_SPHERE_LIST_FOR_NOTE,0))</f>
        <v>10.2.1</v>
      </c>
      <c r="J67" s="117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75">
        <f>INDEX(TEMPLATE_NOTE_POINT_FHD,B67,MATCH(TEMPLATE_SPHERE,TEMPLATE_SPHERE_LIST_FOR_NOTE,0))</f>
        <v>0</v>
      </c>
      <c r="L67" s="1014" t="str">
        <f>IF(I67=0,"",I67)</f>
        <v>10.2.1</v>
      </c>
      <c r="M67" s="1014" t="str">
        <f>IF(J67=0,"",J67)</f>
        <v>Объём отпущенной потребителям воды, определенный по нормативам потребления коммунальных услуг</v>
      </c>
      <c r="N67" s="1014" t="str">
        <f>IF(K67=0,"",K67)</f>
        <v/>
      </c>
      <c r="O67" s="1127"/>
      <c r="P67" s="1127" t="s">
        <v>2179</v>
      </c>
      <c r="Q67" s="1127"/>
      <c r="R67" s="1127"/>
      <c r="S67" s="1127"/>
      <c r="T67" s="1013"/>
      <c r="U67" s="1013" t="s">
        <v>2180</v>
      </c>
      <c r="V67" s="1013"/>
      <c r="W67" s="1013"/>
      <c r="X67" s="1013"/>
      <c r="Y67" s="1170"/>
      <c r="Z67" s="1016"/>
      <c r="AA67" s="1019"/>
      <c r="AB67" s="1016"/>
      <c r="AC67" s="1016"/>
      <c r="AD67" s="1016"/>
    </row>
    <row customHeight="1" ht="27">
      <c r="A68" s="1015"/>
      <c r="B68" s="1069">
        <v>51</v>
      </c>
      <c r="C68" s="1013"/>
      <c r="D68" s="1137"/>
      <c r="E68" s="1013"/>
      <c r="F68" s="1013"/>
      <c r="G68" s="1013"/>
      <c r="H68" s="1061"/>
      <c r="I68" s="1175" t="str">
        <f>INDEX(TEMPLATE_NUMBER_POINT_FHD,B68,MATCH(TEMPLATE_SPHERE,TEMPLATE_SPHERE_LIST_FOR_NOTE,0))</f>
        <v>10.2.2</v>
      </c>
      <c r="J68" s="117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75">
        <f>INDEX(TEMPLATE_NOTE_POINT_FHD,B68,MATCH(TEMPLATE_SPHERE,TEMPLATE_SPHERE_LIST_FOR_NOTE,0))</f>
        <v>0</v>
      </c>
      <c r="L68" s="1014" t="str">
        <f>IF(I68=0,"",I68)</f>
        <v>10.2.2</v>
      </c>
      <c r="M68" s="1014" t="str">
        <f>IF(J68=0,"",J68)</f>
        <v>Объём отпущенной потребителям воды, определенный по нормативам потребления коммунальных ресурсов </v>
      </c>
      <c r="N68" s="1014" t="str">
        <f>IF(K68=0,"",K68)</f>
        <v/>
      </c>
      <c r="O68" s="1127"/>
      <c r="P68" s="1127" t="s">
        <v>2181</v>
      </c>
      <c r="Q68" s="1127"/>
      <c r="R68" s="1127"/>
      <c r="S68" s="1127"/>
      <c r="T68" s="1013"/>
      <c r="U68" s="1013" t="s">
        <v>2182</v>
      </c>
      <c r="V68" s="1013"/>
      <c r="W68" s="1013"/>
      <c r="X68" s="1013"/>
      <c r="Y68" s="1170"/>
      <c r="Z68" s="1016"/>
      <c r="AA68" s="1019"/>
      <c r="AB68" s="1016"/>
      <c r="AC68" s="1016"/>
      <c r="AD68" s="1016"/>
    </row>
    <row customHeight="1" ht="9">
      <c r="A69" s="1015"/>
      <c r="B69" s="1069">
        <v>52</v>
      </c>
      <c r="C69" s="1013"/>
      <c r="D69" s="1137" t="s">
        <v>2183</v>
      </c>
      <c r="E69" s="1013"/>
      <c r="F69" s="1013"/>
      <c r="G69" s="1013"/>
      <c r="H69" s="1061"/>
      <c r="I69" s="1175" t="str">
        <f>INDEX(TEMPLATE_NUMBER_POINT_FHD,B69,MATCH(TEMPLATE_SPHERE,TEMPLATE_SPHERE_LIST_FOR_NOTE,0))</f>
        <v>11</v>
      </c>
      <c r="J69" s="1175" t="str">
        <f>INDEX(TEMPLATE_DATA_POINT_FHD,B69,MATCH(TEMPLATE_SPHERE,TEMPLATE_SPHERE_LIST_FOR_NOTE,0))</f>
        <v>Потери воды в сетях</v>
      </c>
      <c r="K69" s="1175">
        <f>INDEX(TEMPLATE_NOTE_POINT_FHD,B69,MATCH(TEMPLATE_SPHERE,TEMPLATE_SPHERE_LIST_FOR_NOTE,0))</f>
        <v>0</v>
      </c>
      <c r="L69" s="1014" t="str">
        <f>IF(I69=0,"",I69)</f>
        <v>11</v>
      </c>
      <c r="M69" s="1014" t="str">
        <f>IF(J69=0,"",J69)</f>
        <v>Потери воды в сетях</v>
      </c>
      <c r="N69" s="1014" t="str">
        <f>IF(K69=0,"",K69)</f>
        <v/>
      </c>
      <c r="O69" s="1127"/>
      <c r="P69" s="1127" t="s">
        <v>149</v>
      </c>
      <c r="Q69" s="1127"/>
      <c r="R69" s="1127"/>
      <c r="S69" s="1127"/>
      <c r="T69" s="1013"/>
      <c r="U69" s="1013" t="s">
        <v>2184</v>
      </c>
      <c r="V69" s="1013"/>
      <c r="W69" s="1013"/>
      <c r="X69" s="1013"/>
      <c r="Y69" s="1170"/>
      <c r="Z69" s="1016"/>
      <c r="AA69" s="1019"/>
      <c r="AB69" s="1016"/>
      <c r="AC69" s="1016"/>
      <c r="AD69" s="1016"/>
    </row>
    <row customHeight="1" ht="27">
      <c r="A70" s="1015"/>
      <c r="B70" s="1069">
        <v>53</v>
      </c>
      <c r="C70" s="1013"/>
      <c r="D70" s="1137"/>
      <c r="E70" s="1013" t="s">
        <v>2168</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92</v>
      </c>
      <c r="R70" s="1127"/>
      <c r="S70" s="1127"/>
      <c r="T70" s="1013"/>
      <c r="U70" s="1013"/>
      <c r="V70" s="1013" t="s">
        <v>2185</v>
      </c>
      <c r="W70" s="1013"/>
      <c r="X70" s="1013"/>
      <c r="Y70" s="1170"/>
      <c r="Z70" s="1016"/>
      <c r="AA70" s="1019"/>
      <c r="AB70" s="1016"/>
      <c r="AC70" s="1016"/>
      <c r="AD70" s="1016"/>
    </row>
    <row customHeight="1" ht="36">
      <c r="A71" s="1015"/>
      <c r="B71" s="1069">
        <v>54</v>
      </c>
      <c r="C71" s="1013"/>
      <c r="D71" s="1137"/>
      <c r="E71" s="1013" t="s">
        <v>2170</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111</v>
      </c>
      <c r="R71" s="1127"/>
      <c r="S71" s="1127"/>
      <c r="T71" s="1013"/>
      <c r="U71" s="1013"/>
      <c r="V71" s="1013" t="s">
        <v>2186</v>
      </c>
      <c r="W71" s="1013"/>
      <c r="X71" s="1013"/>
      <c r="Y71" s="1170"/>
      <c r="Z71" s="1016"/>
      <c r="AA71" s="1019"/>
      <c r="AB71" s="1016"/>
      <c r="AC71" s="1016"/>
      <c r="AD71" s="1016"/>
    </row>
    <row customHeight="1" ht="27">
      <c r="A72" s="1015"/>
      <c r="B72" s="1069">
        <v>55</v>
      </c>
      <c r="C72" s="1013"/>
      <c r="D72" s="1137"/>
      <c r="E72" s="1013" t="s">
        <v>2172</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147</v>
      </c>
      <c r="R72" s="1127"/>
      <c r="S72" s="1127"/>
      <c r="T72" s="1013"/>
      <c r="U72" s="1013"/>
      <c r="V72" s="1013" t="s">
        <v>2187</v>
      </c>
      <c r="W72" s="1013"/>
      <c r="X72" s="1013"/>
      <c r="Y72" s="1170"/>
      <c r="Z72" s="1016"/>
      <c r="AA72" s="1019"/>
      <c r="AB72" s="1016"/>
      <c r="AC72" s="1016"/>
      <c r="AD72" s="1016"/>
    </row>
    <row customHeight="1" ht="36">
      <c r="A73" s="1015"/>
      <c r="B73" s="1069">
        <v>56</v>
      </c>
      <c r="C73" s="1013"/>
      <c r="D73" s="1137"/>
      <c r="E73" s="1013" t="s">
        <v>2174</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148</v>
      </c>
      <c r="R73" s="1127"/>
      <c r="S73" s="1127"/>
      <c r="T73" s="1013"/>
      <c r="U73" s="1013"/>
      <c r="V73" s="1013" t="s">
        <v>2188</v>
      </c>
      <c r="W73" s="1013"/>
      <c r="X73" s="1013"/>
      <c r="Y73" s="1170"/>
      <c r="Z73" s="1016"/>
      <c r="AA73" s="1019"/>
      <c r="AB73" s="1016"/>
      <c r="AC73" s="1016"/>
      <c r="AD73" s="1016"/>
    </row>
    <row customHeight="1" ht="18">
      <c r="A74" s="1015"/>
      <c r="B74" s="1069">
        <v>57</v>
      </c>
      <c r="C74" s="1013"/>
      <c r="D74" s="1137"/>
      <c r="E74" s="1013" t="s">
        <v>2183</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149</v>
      </c>
      <c r="R74" s="1127"/>
      <c r="S74" s="1127"/>
      <c r="T74" s="1013"/>
      <c r="U74" s="1013"/>
      <c r="V74" s="1013" t="s">
        <v>2189</v>
      </c>
      <c r="W74" s="1013"/>
      <c r="X74" s="1013"/>
      <c r="Y74" s="1170"/>
      <c r="Z74" s="1016"/>
      <c r="AA74" s="1019"/>
      <c r="AB74" s="1016"/>
      <c r="AC74" s="1016"/>
      <c r="AD74" s="1016"/>
    </row>
    <row customHeight="1" ht="18">
      <c r="A75" s="1015"/>
      <c r="B75" s="1069">
        <v>58</v>
      </c>
      <c r="C75" s="1013"/>
      <c r="D75" s="1137"/>
      <c r="E75" s="1013"/>
      <c r="F75" s="1013" t="s">
        <v>2168</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92</v>
      </c>
      <c r="S75" s="1127"/>
      <c r="T75" s="1013"/>
      <c r="U75" s="1013"/>
      <c r="V75" s="1013"/>
      <c r="W75" s="1013" t="s">
        <v>2190</v>
      </c>
      <c r="X75" s="1013"/>
      <c r="Y75" s="1170"/>
      <c r="Z75" s="1016"/>
      <c r="AA75" s="1019"/>
      <c r="AB75" s="1016"/>
      <c r="AC75" s="1016"/>
      <c r="AD75" s="1016"/>
    </row>
    <row customHeight="1" ht="36">
      <c r="A76" s="1015"/>
      <c r="B76" s="1069">
        <v>59</v>
      </c>
      <c r="C76" s="1013"/>
      <c r="D76" s="1137"/>
      <c r="E76" s="1013"/>
      <c r="F76" s="1013" t="s">
        <v>2170</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111</v>
      </c>
      <c r="S76" s="1127"/>
      <c r="T76" s="1013"/>
      <c r="U76" s="1013"/>
      <c r="V76" s="1013"/>
      <c r="W76" s="1013" t="s">
        <v>2191</v>
      </c>
      <c r="X76" s="1013"/>
      <c r="Y76" s="1170"/>
      <c r="Z76" s="1016"/>
      <c r="AA76" s="1019"/>
      <c r="AB76" s="1016"/>
      <c r="AC76" s="1016"/>
      <c r="AD76" s="1016"/>
    </row>
    <row customHeight="1" ht="18">
      <c r="A77" s="1015"/>
      <c r="B77" s="1069">
        <v>60</v>
      </c>
      <c r="C77" s="1013"/>
      <c r="D77" s="1137"/>
      <c r="E77" s="1013"/>
      <c r="F77" s="1013" t="s">
        <v>2172</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147</v>
      </c>
      <c r="S77" s="1127"/>
      <c r="T77" s="1013"/>
      <c r="U77" s="1013"/>
      <c r="V77" s="1013"/>
      <c r="W77" s="1013" t="s">
        <v>2192</v>
      </c>
      <c r="X77" s="1013"/>
      <c r="Y77" s="1170"/>
      <c r="Z77" s="1016"/>
      <c r="AA77" s="1019"/>
      <c r="AB77" s="1016"/>
      <c r="AC77" s="1016"/>
      <c r="AD77" s="1016"/>
    </row>
    <row customHeight="1" ht="72">
      <c r="A78" s="1015"/>
      <c r="B78" s="1069">
        <v>61</v>
      </c>
      <c r="C78" s="1013" t="s">
        <v>2168</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92</v>
      </c>
      <c r="P78" s="1127"/>
      <c r="Q78" s="1127"/>
      <c r="R78" s="1127"/>
      <c r="S78" s="1127"/>
      <c r="T78" s="1013" t="s">
        <v>646</v>
      </c>
      <c r="U78" s="1013"/>
      <c r="V78" s="1013"/>
      <c r="W78" s="1013"/>
      <c r="X78" s="1013"/>
      <c r="Y78" s="1170"/>
      <c r="Z78" s="1016" t="s">
        <v>2193</v>
      </c>
      <c r="AA78" s="1019"/>
      <c r="AB78" s="1016"/>
      <c r="AC78" s="1016"/>
      <c r="AD78" s="1016"/>
    </row>
    <row customHeight="1" ht="36">
      <c r="A79" s="1015"/>
      <c r="B79" s="1069">
        <v>62</v>
      </c>
      <c r="C79" s="1013" t="s">
        <v>2170</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111</v>
      </c>
      <c r="P79" s="1127"/>
      <c r="Q79" s="1127"/>
      <c r="R79" s="1127"/>
      <c r="S79" s="1127"/>
      <c r="T79" s="1013" t="s">
        <v>2194</v>
      </c>
      <c r="U79" s="1013"/>
      <c r="V79" s="1013"/>
      <c r="W79" s="1013"/>
      <c r="X79" s="1013"/>
      <c r="Y79" s="1170"/>
      <c r="Z79" s="1016" t="s">
        <v>2195</v>
      </c>
      <c r="AA79" s="1019"/>
      <c r="AB79" s="1016"/>
      <c r="AC79" s="1016"/>
      <c r="AD79" s="1016"/>
    </row>
    <row customHeight="1" ht="45">
      <c r="A80" s="1015"/>
      <c r="B80" s="1069">
        <v>63</v>
      </c>
      <c r="C80" s="1013" t="s">
        <v>2172</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147</v>
      </c>
      <c r="P80" s="1127"/>
      <c r="Q80" s="1127"/>
      <c r="R80" s="1127"/>
      <c r="S80" s="1127"/>
      <c r="T80" s="1013" t="s">
        <v>2196</v>
      </c>
      <c r="U80" s="1013"/>
      <c r="V80" s="1013"/>
      <c r="W80" s="1013"/>
      <c r="X80" s="1013"/>
      <c r="Y80" s="1170"/>
      <c r="Z80" s="1016" t="s">
        <v>2197</v>
      </c>
      <c r="AA80" s="1019"/>
      <c r="AB80" s="1016"/>
      <c r="AC80" s="1016"/>
      <c r="AD80" s="1016"/>
    </row>
    <row customHeight="1" ht="36">
      <c r="A81" s="1015"/>
      <c r="B81" s="1069">
        <v>64</v>
      </c>
      <c r="C81" s="1013" t="s">
        <v>2174</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2080</v>
      </c>
      <c r="P81" s="1127"/>
      <c r="Q81" s="1127"/>
      <c r="R81" s="1127"/>
      <c r="S81" s="1127"/>
      <c r="T81" s="1013" t="s">
        <v>2198</v>
      </c>
      <c r="U81" s="1013"/>
      <c r="V81" s="1013"/>
      <c r="W81" s="1013"/>
      <c r="X81" s="1013"/>
      <c r="Y81" s="1170"/>
      <c r="Z81" s="1016" t="s">
        <v>2199</v>
      </c>
      <c r="AA81" s="1019"/>
      <c r="AB81" s="1016"/>
      <c r="AC81" s="1016"/>
      <c r="AD81" s="1016"/>
    </row>
    <row customHeight="1" ht="90">
      <c r="A82" s="1015"/>
      <c r="B82" s="1069">
        <v>65</v>
      </c>
      <c r="C82" s="1013" t="s">
        <v>2183</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148</v>
      </c>
      <c r="P82" s="1127"/>
      <c r="Q82" s="1127"/>
      <c r="R82" s="1127"/>
      <c r="S82" s="1127"/>
      <c r="T82" s="1013" t="s">
        <v>2200</v>
      </c>
      <c r="U82" s="1013"/>
      <c r="V82" s="1013"/>
      <c r="W82" s="1013"/>
      <c r="X82" s="1013"/>
      <c r="Y82" s="1170"/>
      <c r="Z82" s="1016" t="s">
        <v>2201</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2089</v>
      </c>
      <c r="P83" s="1127"/>
      <c r="Q83" s="1127"/>
      <c r="R83" s="1127"/>
      <c r="S83" s="1127"/>
      <c r="T83" s="1013" t="s">
        <v>2202</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2203</v>
      </c>
      <c r="P84" s="1127"/>
      <c r="Q84" s="1127"/>
      <c r="R84" s="1127"/>
      <c r="S84" s="1127"/>
      <c r="T84" s="1013" t="s">
        <v>2204</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2093</v>
      </c>
      <c r="P85" s="1127"/>
      <c r="Q85" s="1127"/>
      <c r="R85" s="1127"/>
      <c r="S85" s="1127"/>
      <c r="T85" s="1013" t="s">
        <v>2205</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2206</v>
      </c>
      <c r="P86" s="1127"/>
      <c r="Q86" s="1127"/>
      <c r="R86" s="1127"/>
      <c r="S86" s="1127"/>
      <c r="T86" s="1013" t="s">
        <v>2207</v>
      </c>
      <c r="U86" s="1013"/>
      <c r="V86" s="1013"/>
      <c r="W86" s="1013"/>
      <c r="X86" s="1013"/>
      <c r="Y86" s="1170"/>
      <c r="Z86" s="1016"/>
      <c r="AA86" s="1019"/>
      <c r="AB86" s="1016"/>
      <c r="AC86" s="1016"/>
      <c r="AD86" s="1016"/>
    </row>
    <row customHeight="1" ht="36">
      <c r="A87" s="1015"/>
      <c r="B87" s="1069">
        <v>70</v>
      </c>
      <c r="C87" s="1013" t="s">
        <v>2208</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149</v>
      </c>
      <c r="P87" s="1127"/>
      <c r="Q87" s="1127"/>
      <c r="R87" s="1127"/>
      <c r="S87" s="1127"/>
      <c r="T87" s="1013" t="s">
        <v>2209</v>
      </c>
      <c r="U87" s="1013"/>
      <c r="V87" s="1013"/>
      <c r="W87" s="1013"/>
      <c r="X87" s="1013"/>
      <c r="Y87" s="1170"/>
      <c r="Z87" s="1016"/>
      <c r="AA87" s="1019"/>
      <c r="AB87" s="1016"/>
      <c r="AC87" s="1016"/>
      <c r="AD87" s="1016"/>
    </row>
    <row customHeight="1" ht="18">
      <c r="A88" s="1015"/>
      <c r="B88" s="1069">
        <v>71</v>
      </c>
      <c r="C88" s="1013" t="s">
        <v>2210</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150</v>
      </c>
      <c r="P88" s="1127"/>
      <c r="Q88" s="1127"/>
      <c r="R88" s="1127"/>
      <c r="S88" s="1127"/>
      <c r="T88" s="1013" t="s">
        <v>678</v>
      </c>
      <c r="U88" s="1013"/>
      <c r="V88" s="1013"/>
      <c r="W88" s="1013"/>
      <c r="X88" s="1013"/>
      <c r="Y88" s="1170"/>
      <c r="Z88" s="1016"/>
      <c r="AA88" s="1019"/>
      <c r="AB88" s="1016"/>
      <c r="AC88" s="1016"/>
      <c r="AD88" s="1016"/>
    </row>
    <row customHeight="1" ht="18">
      <c r="A89" s="1015"/>
      <c r="B89" s="1069">
        <v>72</v>
      </c>
      <c r="C89" s="1013" t="s">
        <v>2211</v>
      </c>
      <c r="D89" s="1137" t="s">
        <v>2208</v>
      </c>
      <c r="E89" s="1013" t="s">
        <v>2208</v>
      </c>
      <c r="F89" s="1013" t="s">
        <v>2174</v>
      </c>
      <c r="G89" s="1013"/>
      <c r="H89" s="1061"/>
      <c r="I89" s="1175" t="str">
        <f>INDEX(TEMPLATE_NUMBER_POINT_FHD,B89,MATCH(TEMPLATE_SPHERE,TEMPLATE_SPHERE_LIST_FOR_NOTE,0))</f>
        <v>12</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12</v>
      </c>
      <c r="M89" s="1014" t="str">
        <f>IF(J89=0,"",J89)</f>
        <v>Среднесписочная численность основного производственного персонала</v>
      </c>
      <c r="N89" s="1014" t="str">
        <f>IF(K89=0,"",K89)</f>
        <v/>
      </c>
      <c r="O89" s="1127" t="s">
        <v>151</v>
      </c>
      <c r="P89" s="1127" t="s">
        <v>150</v>
      </c>
      <c r="Q89" s="1127" t="s">
        <v>150</v>
      </c>
      <c r="R89" s="1127" t="s">
        <v>148</v>
      </c>
      <c r="S89" s="1127"/>
      <c r="T89" s="1013" t="s">
        <v>686</v>
      </c>
      <c r="U89" s="1013" t="s">
        <v>686</v>
      </c>
      <c r="V89" s="1013" t="s">
        <v>686</v>
      </c>
      <c r="W89" s="1013" t="s">
        <v>686</v>
      </c>
      <c r="X89" s="1013"/>
      <c r="Y89" s="1170"/>
      <c r="Z89" s="1016"/>
      <c r="AA89" s="1019"/>
      <c r="AB89" s="1016"/>
      <c r="AC89" s="1016"/>
      <c r="AD89" s="1016"/>
    </row>
    <row customHeight="1" ht="27">
      <c r="A90" s="1015"/>
      <c r="B90" s="1069">
        <v>73</v>
      </c>
      <c r="C90" s="1013" t="s">
        <v>2212</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152</v>
      </c>
      <c r="P90" s="1127"/>
      <c r="Q90" s="1127"/>
      <c r="R90" s="1127"/>
      <c r="S90" s="1127"/>
      <c r="T90" s="1013" t="s">
        <v>688</v>
      </c>
      <c r="U90" s="1013"/>
      <c r="V90" s="1013"/>
      <c r="W90" s="1013"/>
      <c r="X90" s="1013"/>
      <c r="Y90" s="1170"/>
      <c r="Z90" s="1016"/>
      <c r="AA90" s="1019"/>
      <c r="AB90" s="1016"/>
      <c r="AC90" s="1016"/>
      <c r="AD90" s="1016"/>
    </row>
    <row customHeight="1" ht="18">
      <c r="A91" s="1015"/>
      <c r="B91" s="1069">
        <v>74</v>
      </c>
      <c r="C91" s="1013"/>
      <c r="D91" s="1137" t="s">
        <v>2210</v>
      </c>
      <c r="E91" s="1013" t="s">
        <v>2210</v>
      </c>
      <c r="F91" s="1013"/>
      <c r="G91" s="1013"/>
      <c r="H91" s="1061"/>
      <c r="I91" s="1175" t="str">
        <f>INDEX(TEMPLATE_NUMBER_POINT_FHD,B91,MATCH(TEMPLATE_SPHERE,TEMPLATE_SPHERE_LIST_FOR_NOTE,0))</f>
        <v>13</v>
      </c>
      <c r="J91" s="1175" t="str">
        <f>INDEX(TEMPLATE_DATA_POINT_FHD,B91,MATCH(TEMPLATE_SPHERE,TEMPLATE_SPHERE_LIST_FOR_NOTE,0))</f>
        <v>Удельный расход электрической энергии на подачу воды в сеть</v>
      </c>
      <c r="K91" s="1175">
        <f>INDEX(TEMPLATE_NOTE_POINT_FHD,B91,MATCH(TEMPLATE_SPHERE,TEMPLATE_SPHERE_LIST_FOR_NOTE,0))</f>
        <v>0</v>
      </c>
      <c r="L91" s="1014" t="str">
        <f>IF(I91=0,"",I91)</f>
        <v>13</v>
      </c>
      <c r="M91" s="1014" t="str">
        <f>IF(J91=0,"",J91)</f>
        <v>Удельный расход электрической энергии на подачу воды в сеть</v>
      </c>
      <c r="N91" s="1014" t="str">
        <f>IF(K91=0,"",K91)</f>
        <v/>
      </c>
      <c r="O91" s="1127"/>
      <c r="P91" s="1127" t="s">
        <v>151</v>
      </c>
      <c r="Q91" s="1127" t="s">
        <v>151</v>
      </c>
      <c r="R91" s="1127"/>
      <c r="S91" s="1127"/>
      <c r="T91" s="1013"/>
      <c r="U91" s="1013" t="s">
        <v>2213</v>
      </c>
      <c r="V91" s="1013" t="s">
        <v>2213</v>
      </c>
      <c r="W91" s="1013"/>
      <c r="X91" s="1013"/>
      <c r="Y91" s="1170"/>
      <c r="Z91" s="1016"/>
      <c r="AA91" s="1019"/>
      <c r="AB91" s="1016"/>
      <c r="AC91" s="1016"/>
      <c r="AD91" s="1016"/>
    </row>
    <row customHeight="1" ht="27">
      <c r="A92" s="1015"/>
      <c r="B92" s="1069">
        <v>75</v>
      </c>
      <c r="C92" s="1013"/>
      <c r="D92" s="1137" t="s">
        <v>2211</v>
      </c>
      <c r="E92" s="1013"/>
      <c r="F92" s="1013"/>
      <c r="G92" s="1013"/>
      <c r="H92" s="1061"/>
      <c r="I92" s="1175" t="str">
        <f>INDEX(TEMPLATE_NUMBER_POINT_FHD,B92,MATCH(TEMPLATE_SPHERE,TEMPLATE_SPHERE_LIST_FOR_NOTE,0))</f>
        <v>14</v>
      </c>
      <c r="J92" s="1175" t="str">
        <f>INDEX(TEMPLATE_DATA_POINT_FHD,B92,MATCH(TEMPLATE_SPHERE,TEMPLATE_SPHERE_LIST_FOR_NOTE,0))</f>
        <v>Расход воды на собственные нужды, в том числе:</v>
      </c>
      <c r="K92" s="1175" t="str">
        <f>INDEX(TEMPLATE_NOTE_POINT_FHD,B92,MATCH(TEMPLATE_SPHERE,TEMPLATE_SPHERE_LIST_FOR_NOTE,0))</f>
        <v>Указывается доля общего расхода воды на собственные нужны от объема отпуска воды потребителям.</v>
      </c>
      <c r="L92" s="1014" t="str">
        <f>IF(I92=0,"",I92)</f>
        <v>14</v>
      </c>
      <c r="M92" s="1014" t="str">
        <f>IF(J92=0,"",J92)</f>
        <v>Расход воды на собственные нужды, в том числе:</v>
      </c>
      <c r="N92" s="1014" t="str">
        <f>IF(K92=0,"",K92)</f>
        <v>Указывается доля общего расхода воды на собственные нужны от объема отпуска воды потребителям.</v>
      </c>
      <c r="O92" s="1127"/>
      <c r="P92" s="1127" t="s">
        <v>152</v>
      </c>
      <c r="Q92" s="1127"/>
      <c r="R92" s="1127"/>
      <c r="S92" s="1127"/>
      <c r="T92" s="1013"/>
      <c r="U92" s="1013" t="s">
        <v>2214</v>
      </c>
      <c r="V92" s="1013"/>
      <c r="W92" s="1013"/>
      <c r="X92" s="1013"/>
      <c r="Y92" s="1170"/>
      <c r="Z92" s="1016"/>
      <c r="AA92" s="1019" t="s">
        <v>2215</v>
      </c>
      <c r="AB92" s="1016"/>
      <c r="AC92" s="1016"/>
      <c r="AD92" s="1016"/>
    </row>
    <row customHeight="1" ht="27">
      <c r="A93" s="1015"/>
      <c r="B93" s="1069">
        <v>76</v>
      </c>
      <c r="C93" s="1013"/>
      <c r="D93" s="1137"/>
      <c r="E93" s="1013"/>
      <c r="F93" s="1013"/>
      <c r="G93" s="1013"/>
      <c r="H93" s="1061"/>
      <c r="I93" s="1175" t="str">
        <f>INDEX(TEMPLATE_NUMBER_POINT_FHD,B93,MATCH(TEMPLATE_SPHERE,TEMPLATE_SPHERE_LIST_FOR_NOTE,0))</f>
        <v>14.1</v>
      </c>
      <c r="J93" s="1175" t="str">
        <f>INDEX(TEMPLATE_DATA_POINT_FHD,B93,MATCH(TEMPLATE_SPHERE,TEMPLATE_SPHERE_LIST_FOR_NOTE,0))</f>
        <v>Расход воды на хозяйственно-бытовые нужды</v>
      </c>
      <c r="K93" s="117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014" t="str">
        <f>IF(I93=0,"",I93)</f>
        <v>14.1</v>
      </c>
      <c r="M93" s="1014" t="str">
        <f>IF(J93=0,"",J93)</f>
        <v>Расход воды на хозяйственно-бытовые нужды</v>
      </c>
      <c r="N93" s="1014" t="str">
        <f>IF(K93=0,"",K93)</f>
        <v>Указывается доля расхода воды на хозяйственно-бытовые нужны от объема отпуска воды потребителям.</v>
      </c>
      <c r="O93" s="1127"/>
      <c r="P93" s="1127" t="s">
        <v>2121</v>
      </c>
      <c r="Q93" s="1127"/>
      <c r="R93" s="1127"/>
      <c r="S93" s="1127"/>
      <c r="T93" s="1013"/>
      <c r="U93" s="1013" t="s">
        <v>2216</v>
      </c>
      <c r="V93" s="1013"/>
      <c r="W93" s="1013"/>
      <c r="X93" s="1013"/>
      <c r="Y93" s="1170"/>
      <c r="Z93" s="1016"/>
      <c r="AA93" s="1019" t="s">
        <v>2217</v>
      </c>
      <c r="AB93" s="1016"/>
      <c r="AC93" s="1016"/>
      <c r="AD93" s="1016"/>
    </row>
    <row customHeight="1" ht="45">
      <c r="A94" s="1015"/>
      <c r="B94" s="1069">
        <v>77</v>
      </c>
      <c r="C94" s="1013"/>
      <c r="D94" s="1137" t="s">
        <v>2212</v>
      </c>
      <c r="E94" s="1013"/>
      <c r="F94" s="1013"/>
      <c r="G94" s="1013"/>
      <c r="H94" s="1061"/>
      <c r="I94" s="1175" t="str">
        <f>INDEX(TEMPLATE_NUMBER_POINT_FHD,B94,MATCH(TEMPLATE_SPHERE,TEMPLATE_SPHERE_LIST_FOR_NOTE,0))</f>
        <v>15</v>
      </c>
      <c r="J94" s="1175" t="str">
        <f>INDEX(TEMPLATE_DATA_POINT_FHD,B94,MATCH(TEMPLATE_SPHERE,TEMPLATE_SPHERE_LIST_FOR_NOTE,0))</f>
        <v>Показатель использования производственных объектов (по объему перекачки), в том числе:</v>
      </c>
      <c r="K94" s="117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014" t="str">
        <f>IF(I94=0,"",I94)</f>
        <v>15</v>
      </c>
      <c r="M94" s="1014" t="str">
        <f>IF(J94=0,"",J94)</f>
        <v>Показатель использования производственных объектов (по объему перекачки), в том числе:</v>
      </c>
      <c r="N94" s="101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127"/>
      <c r="P94" s="1127" t="s">
        <v>1475</v>
      </c>
      <c r="Q94" s="1127"/>
      <c r="R94" s="1127"/>
      <c r="S94" s="1127"/>
      <c r="T94" s="1013"/>
      <c r="U94" s="1013" t="s">
        <v>2218</v>
      </c>
      <c r="V94" s="1013"/>
      <c r="W94" s="1013"/>
      <c r="X94" s="1013"/>
      <c r="Y94" s="1170"/>
      <c r="Z94" s="1016"/>
      <c r="AA94" s="1019" t="s">
        <v>2219</v>
      </c>
      <c r="AB94" s="1016"/>
      <c r="AC94" s="1016"/>
      <c r="AD94" s="1016"/>
    </row>
    <row customHeight="1" ht="99">
      <c r="A95" s="1015"/>
      <c r="B95" s="1069">
        <v>78</v>
      </c>
      <c r="C95" s="1013" t="s">
        <v>2220</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1475</v>
      </c>
      <c r="P95" s="1127"/>
      <c r="Q95" s="1127"/>
      <c r="R95" s="1127"/>
      <c r="S95" s="1127"/>
      <c r="T95" s="1013" t="s">
        <v>2221</v>
      </c>
      <c r="U95" s="1013"/>
      <c r="V95" s="1013"/>
      <c r="W95" s="1013"/>
      <c r="X95" s="1013"/>
      <c r="Y95" s="1170"/>
      <c r="Z95" s="1016"/>
      <c r="AA95" s="1019"/>
      <c r="AB95" s="1016"/>
      <c r="AC95" s="1016"/>
      <c r="AD95" s="1016"/>
    </row>
    <row customHeight="1" ht="99">
      <c r="A96" s="1015"/>
      <c r="B96" s="1069">
        <v>79</v>
      </c>
      <c r="C96" s="1013" t="s">
        <v>1159</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1481</v>
      </c>
      <c r="P96" s="1127"/>
      <c r="Q96" s="1127"/>
      <c r="R96" s="1127"/>
      <c r="S96" s="1127"/>
      <c r="T96" s="1013" t="s">
        <v>2222</v>
      </c>
      <c r="U96" s="1013"/>
      <c r="V96" s="1013"/>
      <c r="W96" s="1013"/>
      <c r="X96" s="1013"/>
      <c r="Y96" s="1170"/>
      <c r="Z96" s="1016" t="s">
        <v>2223</v>
      </c>
      <c r="AA96" s="1019"/>
      <c r="AB96" s="1016"/>
      <c r="AC96" s="1016"/>
      <c r="AD96" s="1016"/>
    </row>
    <row customHeight="1" ht="63">
      <c r="A97" s="1015"/>
      <c r="B97" s="1069">
        <v>80</v>
      </c>
      <c r="C97" s="1013" t="s">
        <v>2224</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1493</v>
      </c>
      <c r="P97" s="1127"/>
      <c r="Q97" s="1127"/>
      <c r="R97" s="1127"/>
      <c r="S97" s="1127"/>
      <c r="T97" s="1013" t="s">
        <v>2225</v>
      </c>
      <c r="U97" s="1013"/>
      <c r="V97" s="1013"/>
      <c r="W97" s="1013"/>
      <c r="X97" s="1013"/>
      <c r="Y97" s="1170"/>
      <c r="Z97" s="1016" t="s">
        <v>2226</v>
      </c>
      <c r="AA97" s="1019"/>
      <c r="AB97" s="1016"/>
      <c r="AC97" s="1016"/>
      <c r="AD97" s="1016"/>
    </row>
    <row customHeight="1" ht="63">
      <c r="A98" s="1015"/>
      <c r="B98" s="1069">
        <v>81</v>
      </c>
      <c r="C98" s="1013" t="s">
        <v>2227</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1507</v>
      </c>
      <c r="P98" s="1127"/>
      <c r="Q98" s="1127"/>
      <c r="R98" s="1127"/>
      <c r="S98" s="1127"/>
      <c r="T98" s="1013" t="s">
        <v>2228</v>
      </c>
      <c r="U98" s="1013"/>
      <c r="V98" s="1013"/>
      <c r="W98" s="1013"/>
      <c r="X98" s="1013"/>
      <c r="Y98" s="1170"/>
      <c r="Z98" s="1016" t="s">
        <v>2226</v>
      </c>
      <c r="AA98" s="1019"/>
      <c r="AB98" s="1016"/>
      <c r="AC98" s="1016"/>
      <c r="AD98" s="1016"/>
    </row>
    <row customHeight="1" ht="90">
      <c r="A99" s="1015"/>
      <c r="B99" s="1069">
        <v>82</v>
      </c>
      <c r="C99" s="1013" t="s">
        <v>2229</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1518</v>
      </c>
      <c r="P99" s="1127"/>
      <c r="Q99" s="1127"/>
      <c r="R99" s="1127"/>
      <c r="S99" s="1127"/>
      <c r="T99" s="1013" t="s">
        <v>2230</v>
      </c>
      <c r="U99" s="1013"/>
      <c r="V99" s="1013"/>
      <c r="W99" s="1013"/>
      <c r="X99" s="1013"/>
      <c r="Y99" s="1170"/>
      <c r="Z99" s="1016" t="s">
        <v>643</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2231</v>
      </c>
      <c r="P100" s="1127"/>
      <c r="Q100" s="1127"/>
      <c r="R100" s="1127"/>
      <c r="S100" s="1127"/>
      <c r="T100" s="1013" t="s">
        <v>2232</v>
      </c>
      <c r="U100" s="1013"/>
      <c r="V100" s="1013"/>
      <c r="W100" s="1013"/>
      <c r="X100" s="1013"/>
      <c r="Y100" s="1170"/>
      <c r="Z100" s="1016" t="s">
        <v>643</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2233</v>
      </c>
      <c r="P101" s="1127"/>
      <c r="Q101" s="1127"/>
      <c r="R101" s="1127"/>
      <c r="S101" s="1127"/>
      <c r="T101" s="1013" t="s">
        <v>2234</v>
      </c>
      <c r="U101" s="1013"/>
      <c r="V101" s="1013"/>
      <c r="W101" s="1013"/>
      <c r="X101" s="1013"/>
      <c r="Y101" s="1170"/>
      <c r="Z101" s="1016" t="s">
        <v>643</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1673</v>
      </c>
      <c r="B148" s="1015"/>
      <c r="C148" s="1013" t="s">
        <v>2235</v>
      </c>
      <c r="D148" s="1013" t="s">
        <v>1574</v>
      </c>
      <c r="E148" s="1013" t="s">
        <v>1675</v>
      </c>
      <c r="F148" s="1013" t="s">
        <v>2236</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018"/>
      <c r="O148" s="1013"/>
      <c r="P148" s="1014"/>
      <c r="Q148" s="1014"/>
      <c r="R148" s="1014"/>
      <c r="S148" s="1013"/>
      <c r="T148" s="1013" t="s">
        <v>2237</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014"/>
      <c r="W148" s="1014"/>
      <c r="X148" s="1013" t="s">
        <v>2238</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1677</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1680</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1684</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A76E8-425B-65E7-9C6A-1C1400E0C6A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9666" width="10.57421875" hidden="1"/>
    <col min="2" max="2" style="9666" width="11.00390625" hidden="1" customWidth="1"/>
    <col min="3" max="3" style="9666" width="10.57421875" hidden="1"/>
    <col min="4" max="4" style="9666" width="11.8515625" hidden="1" customWidth="1"/>
    <col min="5" max="5" style="9666" width="12.28125" hidden="1" customWidth="1"/>
    <col min="6" max="8" style="10532" width="12.28125" hidden="1" customWidth="1"/>
    <col min="9" max="9" style="10533" width="3.00390625" customWidth="1"/>
    <col min="10" max="11" style="10534" width="3.00390625" customWidth="1"/>
    <col min="12" max="12" style="10535" width="12.00390625" customWidth="1"/>
    <col min="13" max="13" style="9589" width="31.00390625" customWidth="1"/>
    <col min="14" max="14" style="9589" width="1.00390625" customWidth="1"/>
    <col min="15" max="18" style="9589" width="24.00390625" customWidth="1"/>
    <col min="19" max="19" style="9589" width="11.00390625" customWidth="1"/>
    <col min="20" max="20" style="9589" width="3.7109375" customWidth="1"/>
    <col min="21" max="21" style="9589" width="11.00390625" customWidth="1"/>
    <col min="22" max="22" style="9589" width="8.57421875" customWidth="1"/>
    <col min="23" max="23" style="9589" width="4.00390625" customWidth="1"/>
    <col min="24" max="24" style="9589" width="115.00390625" customWidth="1"/>
    <col min="25" max="29" style="9667" width="10.00390625" customWidth="1"/>
    <col min="30" max="30" style="9589"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2239</v>
      </c>
      <c r="M5" s="2773"/>
      <c r="N5" s="2773"/>
      <c r="O5" s="2773"/>
      <c r="P5" s="2773"/>
      <c r="Q5" s="2773"/>
      <c r="R5" s="2773"/>
      <c r="S5" s="2773"/>
      <c r="T5" s="2773"/>
      <c r="U5" s="2773"/>
      <c r="V5" s="1413"/>
      <c r="AD5" s="1325">
        <v>64</v>
      </c>
    </row>
    <row customHeight="1" ht="14.699999999999998">
      <c r="J6" s="546"/>
      <c r="K6" s="546"/>
      <c r="L6" s="2774" t="str">
        <f>IF(org=0,"Не определено",org)</f>
        <v>МУП "Водоканал"</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9793"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9793" customFormat="1" customHeight="1" ht="24">
      <c r="A9" s="1538"/>
      <c r="B9" s="1538"/>
      <c r="C9" s="1538"/>
      <c r="D9" s="1538"/>
      <c r="E9" s="1538"/>
      <c r="F9" s="1538"/>
      <c r="G9" s="1538"/>
      <c r="H9" s="1538"/>
      <c r="L9" s="1446"/>
      <c r="M9" s="465" t="s">
        <v>424</v>
      </c>
      <c r="N9" s="474"/>
      <c r="O9" s="2421" t="str">
        <f>IF(TITLE_DATE_CHANGE_PERIOD="",IF(TITLE_DATE_PR="","",TITLE_DATE_PR),TITLE_DATE_CHANGE_PERIOD)</f>
        <v>45408.40866898148</v>
      </c>
      <c r="P9" s="2421"/>
      <c r="Q9" s="2421"/>
      <c r="R9" s="2421"/>
      <c r="S9" s="2421"/>
      <c r="T9" s="2421"/>
      <c r="U9" s="2421"/>
      <c r="V9" s="496"/>
      <c r="W9" s="496"/>
      <c r="X9" s="450"/>
      <c r="Y9" s="538"/>
      <c r="Z9" s="538"/>
      <c r="AA9" s="538"/>
      <c r="AB9" s="538"/>
      <c r="AC9" s="538"/>
      <c r="AD9" s="588">
        <v>23</v>
      </c>
    </row>
    <row s="9793" customFormat="1" customHeight="1" ht="24">
      <c r="A10" s="1538"/>
      <c r="B10" s="1538"/>
      <c r="C10" s="1538"/>
      <c r="D10" s="1538"/>
      <c r="E10" s="1538"/>
      <c r="F10" s="1538"/>
      <c r="G10" s="1538"/>
      <c r="H10" s="1538"/>
      <c r="L10" s="1420"/>
      <c r="M10" s="465" t="s">
        <v>425</v>
      </c>
      <c r="N10" s="474"/>
      <c r="O10" s="2421" t="str">
        <f>IF(TITLE_NUMBER_PR_CHANGE="",IF(TITLE_NUMBER_PR="","",TITLE_NUMBER_PR),TITLE_NUMBER_PR_CHANGE)</f>
        <v>1005,1062</v>
      </c>
      <c r="P10" s="2421"/>
      <c r="Q10" s="2421"/>
      <c r="R10" s="2421"/>
      <c r="S10" s="2421"/>
      <c r="T10" s="2421"/>
      <c r="U10" s="2421"/>
      <c r="V10" s="496"/>
      <c r="W10" s="496"/>
      <c r="X10" s="450"/>
      <c r="Y10" s="538"/>
      <c r="Z10" s="538"/>
      <c r="AA10" s="538"/>
      <c r="AB10" s="538"/>
      <c r="AC10" s="538"/>
      <c r="AD10" s="588">
        <v>23</v>
      </c>
    </row>
    <row s="9793"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9793"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428</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303</v>
      </c>
      <c r="M14" s="2297"/>
      <c r="N14" s="2297"/>
      <c r="O14" s="2297"/>
      <c r="P14" s="2297"/>
      <c r="Q14" s="2297"/>
      <c r="R14" s="2297"/>
      <c r="S14" s="2297"/>
      <c r="T14" s="2297"/>
      <c r="U14" s="2297"/>
      <c r="V14" s="2297"/>
      <c r="W14" s="2297"/>
      <c r="X14" s="2297" t="s">
        <v>304</v>
      </c>
      <c r="AD14" s="1325">
        <v>14</v>
      </c>
    </row>
    <row customHeight="1" ht="14.699999999999998">
      <c r="J15" s="546"/>
      <c r="K15" s="546"/>
      <c r="L15" s="2443" t="s">
        <v>87</v>
      </c>
      <c r="M15" s="2379" t="s">
        <v>429</v>
      </c>
      <c r="N15" s="471"/>
      <c r="O15" s="2444" t="s">
        <v>2240</v>
      </c>
      <c r="P15" s="2445"/>
      <c r="Q15" s="2445"/>
      <c r="R15" s="2445"/>
      <c r="S15" s="2445"/>
      <c r="T15" s="2445"/>
      <c r="U15" s="2446"/>
      <c r="V15" s="2447" t="s">
        <v>431</v>
      </c>
      <c r="W15" s="2450" t="s">
        <v>1156</v>
      </c>
      <c r="X15" s="2297"/>
      <c r="AD15" s="1325">
        <v>14</v>
      </c>
    </row>
    <row customHeight="1" ht="35.699999999999996">
      <c r="J16" s="546"/>
      <c r="K16" s="546"/>
      <c r="L16" s="2443"/>
      <c r="M16" s="2379"/>
      <c r="N16" s="1201"/>
      <c r="O16" s="2430" t="s">
        <v>434</v>
      </c>
      <c r="P16" s="2430" t="s">
        <v>435</v>
      </c>
      <c r="Q16" s="2432" t="s">
        <v>436</v>
      </c>
      <c r="R16" s="2433"/>
      <c r="S16" s="2432" t="s">
        <v>449</v>
      </c>
      <c r="T16" s="2439"/>
      <c r="U16" s="2433"/>
      <c r="V16" s="2448"/>
      <c r="W16" s="2451"/>
      <c r="X16" s="2297"/>
      <c r="AD16" s="1325">
        <v>34</v>
      </c>
    </row>
    <row customHeight="1" ht="35.699999999999996">
      <c r="A17" s="1540" t="s">
        <v>133</v>
      </c>
      <c r="B17" s="1540" t="s">
        <v>134</v>
      </c>
      <c r="C17" s="1540" t="s">
        <v>135</v>
      </c>
      <c r="D17" s="1540" t="s">
        <v>136</v>
      </c>
      <c r="E17" s="1540"/>
      <c r="J17" s="546"/>
      <c r="K17" s="546"/>
      <c r="L17" s="2443"/>
      <c r="M17" s="2379"/>
      <c r="N17" s="472"/>
      <c r="O17" s="2431"/>
      <c r="P17" s="2431"/>
      <c r="Q17" s="1392" t="s">
        <v>445</v>
      </c>
      <c r="R17" s="1392" t="s">
        <v>446</v>
      </c>
      <c r="S17" s="1462" t="s">
        <v>447</v>
      </c>
      <c r="T17" s="2440" t="s">
        <v>448</v>
      </c>
      <c r="U17" s="2441"/>
      <c r="V17" s="2449"/>
      <c r="W17" s="2452"/>
      <c r="X17" s="2297"/>
      <c r="AD17" s="1325">
        <v>34</v>
      </c>
    </row>
    <row s="10287" customFormat="1" customHeight="1" ht="11.549999999999999">
      <c r="A18" s="1540"/>
      <c r="B18" s="1540"/>
      <c r="C18" s="1540"/>
      <c r="D18" s="1540"/>
      <c r="E18" s="1540"/>
      <c r="F18" s="1532"/>
      <c r="G18" s="1532"/>
      <c r="H18" s="1532"/>
      <c r="I18" s="1416"/>
      <c r="J18" s="1417"/>
      <c r="K18" s="1424">
        <v>1</v>
      </c>
      <c r="L18" s="1447" t="s">
        <v>108</v>
      </c>
      <c r="M18" s="1425" t="s">
        <v>109</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167</v>
      </c>
      <c r="B19" s="1533" t="s">
        <v>168</v>
      </c>
      <c r="C19" s="1533" t="s">
        <v>169</v>
      </c>
      <c r="D19" s="1533" t="s">
        <v>170</v>
      </c>
      <c r="E19" s="1533"/>
      <c r="F19" s="1535"/>
      <c r="G19" s="1535"/>
      <c r="H19" s="1535"/>
      <c r="I19" s="531"/>
      <c r="J19" s="530"/>
      <c r="K19" s="525"/>
      <c r="L19" s="1463">
        <f>INDEX(PT_DIFFERENTIATION_NUM_NTAR,MATCH(A19,PT_DIFFERENTIATION_NTAR_ID,0))</f>
        <v>0</v>
      </c>
      <c r="M19" s="468" t="s">
        <v>122</v>
      </c>
      <c r="N19" s="470"/>
      <c r="O19" s="2776" t="str">
        <f>INDEX(PT_DIFFERENTIATION_NTAR,MATCH(A19,PT_DIFFERENTIATION_NTAR_ID,0))</f>
        <v/>
      </c>
      <c r="P19" s="2776"/>
      <c r="Q19" s="2776"/>
      <c r="R19" s="2776"/>
      <c r="S19" s="2776"/>
      <c r="T19" s="2776"/>
      <c r="U19" s="2776"/>
      <c r="V19" s="2776"/>
      <c r="W19" s="2776"/>
      <c r="X19" s="1428" t="s">
        <v>399</v>
      </c>
      <c r="Z19" s="670"/>
      <c r="AA19" s="670" t="str">
        <f>IF(M19="","",M19)</f>
        <v>Наименование тарифа</v>
      </c>
      <c r="AB19" s="670"/>
      <c r="AC19" s="670"/>
      <c r="AD19" s="1325">
        <v>20</v>
      </c>
    </row>
    <row customHeight="1" ht="21">
      <c r="A20" s="1533" t="s">
        <v>167</v>
      </c>
      <c r="B20" s="1533" t="s">
        <v>168</v>
      </c>
      <c r="C20" s="1533" t="s">
        <v>169</v>
      </c>
      <c r="D20" s="1533" t="s">
        <v>170</v>
      </c>
      <c r="E20" s="1533"/>
      <c r="F20" s="1535"/>
      <c r="G20" s="1535"/>
      <c r="H20" s="1535"/>
      <c r="I20" s="1460"/>
      <c r="J20" s="522"/>
      <c r="K20" s="523"/>
      <c r="L20" s="1463" t="str">
        <f>INDEX(PT_DIFFERENTIATION_NUM_TER,MATCH(B19,PT_DIFFERENTIATION_TER_ID,0))</f>
        <v>.</v>
      </c>
      <c r="M20" s="478" t="s">
        <v>400</v>
      </c>
      <c r="N20" s="470"/>
      <c r="O20" s="2776" t="str">
        <f>INDEX(PT_DIFFERENTIATION_TER,MATCH(B19,PT_DIFFERENTIATION_TER_ID,0))</f>
        <v/>
      </c>
      <c r="P20" s="2776"/>
      <c r="Q20" s="2776"/>
      <c r="R20" s="2776"/>
      <c r="S20" s="2776"/>
      <c r="T20" s="2776"/>
      <c r="U20" s="2776"/>
      <c r="V20" s="2776"/>
      <c r="W20" s="2776"/>
      <c r="X20" s="1428" t="s">
        <v>401</v>
      </c>
      <c r="Z20" s="670"/>
      <c r="AA20" s="670" t="str">
        <f>IF(M20="","",M20)</f>
        <v>Территория действия тарифа</v>
      </c>
      <c r="AB20" s="670"/>
      <c r="AC20" s="670"/>
      <c r="AD20" s="1325">
        <v>20</v>
      </c>
    </row>
    <row customHeight="1" ht="24">
      <c r="A21" s="1533" t="s">
        <v>167</v>
      </c>
      <c r="B21" s="1533" t="s">
        <v>168</v>
      </c>
      <c r="C21" s="1533" t="s">
        <v>169</v>
      </c>
      <c r="D21" s="1533" t="s">
        <v>170</v>
      </c>
      <c r="E21" s="1533"/>
      <c r="F21" s="1535"/>
      <c r="G21" s="1535"/>
      <c r="H21" s="1535"/>
      <c r="I21" s="524"/>
      <c r="J21" s="522"/>
      <c r="K21" s="523"/>
      <c r="L21" s="1463" t="str">
        <f>INDEX(PT_DIFFERENTIATION_NUM_CS,MATCH(C19,PT_DIFFERENTIATION_CS_ID,0))</f>
        <v>..</v>
      </c>
      <c r="M21" s="479" t="s">
        <v>402</v>
      </c>
      <c r="N21" s="470"/>
      <c r="O21" s="2776" t="str">
        <f>INDEX(PT_DIFFERENTIATION_CS,MATCH(C19,PT_DIFFERENTIATION_CS_ID,0))</f>
        <v/>
      </c>
      <c r="P21" s="2776"/>
      <c r="Q21" s="2776"/>
      <c r="R21" s="2776"/>
      <c r="S21" s="2776"/>
      <c r="T21" s="2776"/>
      <c r="U21" s="2776"/>
      <c r="V21" s="2776"/>
      <c r="W21" s="2776"/>
      <c r="X21" s="1428" t="s">
        <v>403</v>
      </c>
      <c r="Z21" s="670"/>
      <c r="AA21" s="670" t="str">
        <f>IF(M21="","",M21)</f>
        <v>Наименование системы теплоснабжения </v>
      </c>
      <c r="AB21" s="670"/>
      <c r="AC21" s="670"/>
      <c r="AD21" s="1325">
        <v>23</v>
      </c>
    </row>
    <row customHeight="1" ht="21">
      <c r="A22" s="1533" t="s">
        <v>167</v>
      </c>
      <c r="B22" s="1533" t="s">
        <v>168</v>
      </c>
      <c r="C22" s="1533" t="s">
        <v>169</v>
      </c>
      <c r="D22" s="1533" t="s">
        <v>170</v>
      </c>
      <c r="E22" s="1533"/>
      <c r="F22" s="1535"/>
      <c r="G22" s="1535"/>
      <c r="H22" s="1535"/>
      <c r="I22" s="524"/>
      <c r="J22" s="522"/>
      <c r="K22" s="523"/>
      <c r="L22" s="1463" t="str">
        <f>INDEX(PT_DIFFERENTIATION_NUM_IST_TE,MATCH(D19,PT_DIFFERENTIATION_IST_TE_ID,0))</f>
        <v>...</v>
      </c>
      <c r="M22" s="480" t="s">
        <v>404</v>
      </c>
      <c r="N22" s="470"/>
      <c r="O22" s="2776" t="str">
        <f>INDEX(PT_DIFFERENTIATION_IST_TE,MATCH(D19,PT_DIFFERENTIATION_IST_TE_ID,0))</f>
        <v/>
      </c>
      <c r="P22" s="2776"/>
      <c r="Q22" s="2776"/>
      <c r="R22" s="2776"/>
      <c r="S22" s="2776"/>
      <c r="T22" s="2776"/>
      <c r="U22" s="2776"/>
      <c r="V22" s="2776"/>
      <c r="W22" s="2776"/>
      <c r="X22" s="1428" t="s">
        <v>405</v>
      </c>
      <c r="Z22" s="670"/>
      <c r="AA22" s="670" t="str">
        <f>IF(M22="","",M22)</f>
        <v>Источник тепловой энергии  </v>
      </c>
      <c r="AB22" s="670"/>
      <c r="AC22" s="670"/>
      <c r="AD22" s="1325">
        <v>20</v>
      </c>
    </row>
    <row customHeight="1" ht="96.75">
      <c r="A23" s="1533" t="s">
        <v>167</v>
      </c>
      <c r="B23" s="1533" t="s">
        <v>168</v>
      </c>
      <c r="C23" s="1533" t="s">
        <v>169</v>
      </c>
      <c r="D23" s="1533" t="s">
        <v>170</v>
      </c>
      <c r="E23" s="1533"/>
      <c r="F23" s="2777" t="str">
        <f>L22&amp;".1"</f>
        <v>....1</v>
      </c>
      <c r="I23" s="2427">
        <v>1</v>
      </c>
      <c r="J23" s="1461"/>
      <c r="K23" s="526"/>
      <c r="L23" s="1463" t="str">
        <f>$F$23</f>
        <v>....1</v>
      </c>
      <c r="M23" s="455" t="s">
        <v>407</v>
      </c>
      <c r="N23" s="470"/>
      <c r="O23" s="2475"/>
      <c r="P23" s="2475"/>
      <c r="Q23" s="2475"/>
      <c r="R23" s="2475"/>
      <c r="S23" s="2475"/>
      <c r="T23" s="2475"/>
      <c r="U23" s="2475"/>
      <c r="V23" s="2475"/>
      <c r="W23" s="2475"/>
      <c r="X23" s="1428" t="s">
        <v>408</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167</v>
      </c>
      <c r="B24" s="1533" t="s">
        <v>168</v>
      </c>
      <c r="C24" s="1533" t="s">
        <v>169</v>
      </c>
      <c r="D24" s="1533" t="s">
        <v>170</v>
      </c>
      <c r="E24" s="1533"/>
      <c r="F24" s="2777"/>
      <c r="G24" s="2387" t="str">
        <f>F23&amp;".1"</f>
        <v>....1.1</v>
      </c>
      <c r="I24" s="2427"/>
      <c r="J24" s="2427">
        <v>1</v>
      </c>
      <c r="K24" s="527"/>
      <c r="L24" s="1463" t="str">
        <f>$G$24</f>
        <v>....1.1</v>
      </c>
      <c r="M24" s="456" t="s">
        <v>410</v>
      </c>
      <c r="N24" s="470"/>
      <c r="O24" s="2415"/>
      <c r="P24" s="2416"/>
      <c r="Q24" s="2416"/>
      <c r="R24" s="2416"/>
      <c r="S24" s="2416"/>
      <c r="T24" s="2416"/>
      <c r="U24" s="2416"/>
      <c r="V24" s="2416"/>
      <c r="W24" s="2417"/>
      <c r="X24" s="1428" t="s">
        <v>411</v>
      </c>
      <c r="Z24" s="670"/>
      <c r="AA24" s="670" t="str">
        <f>IF(M24="","",M24)</f>
        <v>Группа потребителей</v>
      </c>
      <c r="AB24" s="670"/>
      <c r="AC24" s="670"/>
      <c r="AD24" s="1325">
        <v>82</v>
      </c>
    </row>
    <row customHeight="1" ht="11.549999999999999">
      <c r="A25" s="1533" t="s">
        <v>167</v>
      </c>
      <c r="B25" s="1533" t="s">
        <v>168</v>
      </c>
      <c r="C25" s="1533" t="s">
        <v>169</v>
      </c>
      <c r="D25" s="1533" t="s">
        <v>170</v>
      </c>
      <c r="E25" s="1533"/>
      <c r="F25" s="2777"/>
      <c r="G25" s="2387"/>
      <c r="H25" s="2387" t="str">
        <f>G24&amp;".1"</f>
        <v>....1.1.1</v>
      </c>
      <c r="I25" s="2427"/>
      <c r="J25" s="2427"/>
      <c r="K25" s="527">
        <v>1</v>
      </c>
      <c r="L25" s="1463" t="str">
        <f>$H$25</f>
        <v>....1.1.1</v>
      </c>
      <c r="M25" s="1517"/>
      <c r="N25" s="470"/>
      <c r="O25" s="921"/>
      <c r="P25" s="495"/>
      <c r="Q25" s="921"/>
      <c r="R25" s="1427"/>
      <c r="S25" s="2772"/>
      <c r="T25" s="2277" t="s">
        <v>65</v>
      </c>
      <c r="U25" s="2772"/>
      <c r="V25" s="2277" t="s">
        <v>19</v>
      </c>
      <c r="W25" s="495"/>
      <c r="X25" s="2423" t="s">
        <v>413</v>
      </c>
      <c r="Y25" s="681">
        <f>STRCHECKDATE(O26:W26)</f>
      </c>
      <c r="Z25" s="670"/>
      <c r="AA25" s="670" t="str">
        <f>IF(M25="","",M25)</f>
        <v/>
      </c>
      <c r="AB25" s="670"/>
      <c r="AC25" s="670"/>
      <c r="AD25" s="1325">
        <v>11</v>
      </c>
    </row>
    <row customHeight="1" ht="11.549999999999999">
      <c r="A26" s="1533" t="s">
        <v>167</v>
      </c>
      <c r="B26" s="1533" t="s">
        <v>168</v>
      </c>
      <c r="C26" s="1533" t="s">
        <v>169</v>
      </c>
      <c r="D26" s="1533" t="s">
        <v>170</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167</v>
      </c>
      <c r="B27" s="1533" t="s">
        <v>168</v>
      </c>
      <c r="C27" s="1533" t="s">
        <v>169</v>
      </c>
      <c r="D27" s="1533" t="s">
        <v>170</v>
      </c>
      <c r="E27" s="1533"/>
      <c r="F27" s="2777"/>
      <c r="G27" s="2387"/>
      <c r="I27" s="2427"/>
      <c r="J27" s="2427"/>
      <c r="K27" s="526"/>
      <c r="L27" s="1448"/>
      <c r="M27" s="458" t="s">
        <v>414</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167</v>
      </c>
      <c r="B28" s="1533" t="s">
        <v>168</v>
      </c>
      <c r="C28" s="1533" t="s">
        <v>169</v>
      </c>
      <c r="D28" s="1533" t="s">
        <v>170</v>
      </c>
      <c r="E28" s="1533"/>
      <c r="F28" s="2777"/>
      <c r="I28" s="2427"/>
      <c r="J28" s="1461"/>
      <c r="K28" s="526"/>
      <c r="L28" s="1448"/>
      <c r="M28" s="457" t="s">
        <v>415</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167</v>
      </c>
      <c r="B29" s="1533" t="s">
        <v>168</v>
      </c>
      <c r="C29" s="1533" t="s">
        <v>169</v>
      </c>
      <c r="D29" s="1533" t="s">
        <v>170</v>
      </c>
      <c r="E29" s="1533"/>
      <c r="F29" s="1535"/>
      <c r="G29" s="1535"/>
      <c r="H29" s="707"/>
      <c r="I29" s="530"/>
      <c r="J29" s="545"/>
      <c r="K29" s="525"/>
      <c r="L29" s="1448"/>
      <c r="M29" s="535" t="s">
        <v>416</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167</v>
      </c>
      <c r="B30" s="1533" t="s">
        <v>168</v>
      </c>
      <c r="C30" s="1533" t="s">
        <v>169</v>
      </c>
      <c r="D30" s="1533"/>
      <c r="E30" s="1533" t="s">
        <v>598</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167</v>
      </c>
      <c r="B31" s="1533" t="s">
        <v>168</v>
      </c>
      <c r="C31" s="1533"/>
      <c r="D31" s="1533"/>
      <c r="E31" s="1533" t="s">
        <v>2241</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2242</v>
      </c>
      <c r="B32" s="1533"/>
      <c r="C32" s="1533"/>
      <c r="D32" s="1533"/>
      <c r="E32" s="1533" t="s">
        <v>103</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9727" customFormat="1" customHeight="1" ht="11.549999999999999">
      <c r="A33" s="1533"/>
      <c r="B33" s="1533"/>
      <c r="C33" s="1533"/>
      <c r="D33" s="1533"/>
      <c r="E33" s="1533" t="s">
        <v>230</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815</v>
      </c>
      <c r="M35" s="2455" t="s">
        <v>2243</v>
      </c>
      <c r="N35" s="2455"/>
      <c r="O35" s="2455"/>
      <c r="P35" s="2455"/>
      <c r="Q35" s="2455"/>
      <c r="R35" s="2455"/>
      <c r="S35" s="2455"/>
      <c r="T35" s="2455"/>
      <c r="U35" s="2455"/>
      <c r="V35" s="2455"/>
      <c r="W35" s="2455"/>
      <c r="X35" s="2455"/>
      <c r="AD35" s="1325">
        <v>27</v>
      </c>
    </row>
    <row customHeight="1" ht="109.19999999999999">
      <c r="H36" s="707"/>
      <c r="I36" s="1473"/>
      <c r="M36" s="2455" t="s">
        <v>2244</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81</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12227-039F-6441-82AC-56A6D3C349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DEB51-9AD8-BBB4-A9BD-B20601B05C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C48E3-31E4-5602-60A7-FC9D8B011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8F05C-45AE-76BB-2B48-5ABA3909A9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A8E5C-1EB8-A2F4-89B3-469252A4E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DCFD2-CA44-475D-D0C1-AA23BF5814E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0241" width="15.00390625" hidden="1" customWidth="1"/>
    <col min="2" max="2" style="10198" width="15.00390625" hidden="1" customWidth="1"/>
    <col min="3" max="3" style="10242" width="3.00390625" customWidth="1"/>
    <col min="4" max="4" style="10243" width="6.00390625" customWidth="1"/>
    <col min="5" max="5" style="10242" width="52.00390625" customWidth="1"/>
    <col min="6" max="6" style="10242" width="48.00390625" customWidth="1"/>
    <col min="7" max="7" style="10242" width="121.00390625" customWidth="1"/>
    <col min="8" max="8" style="10242" width="8.00390625" customWidth="1"/>
    <col min="9" max="9" style="10242" width="64.00390625" customWidth="1"/>
    <col min="10" max="10" style="10242" width="9.140625" hidden="1"/>
  </cols>
  <sheetData>
    <row customHeight="1" ht="11.25" hidden="1">
      <c r="A1" s="1856" t="s">
        <v>302</v>
      </c>
      <c r="J1" s="625" t="s">
        <v>14</v>
      </c>
    </row>
    <row customHeight="1" ht="11.25" hidden="1">
      <c r="J2" s="625">
        <v>0</v>
      </c>
    </row>
    <row s="10157" customFormat="1" customHeight="1" ht="11.549999999999999">
      <c r="A3" s="1856"/>
      <c r="B3" s="671"/>
      <c r="D3" s="648"/>
      <c r="J3" s="647">
        <v>11</v>
      </c>
    </row>
    <row customHeight="1" ht="27.299999999999997">
      <c r="D4" s="2327" t="str">
        <f>ORG_INFO_NAME_FORM</f>
        <v>Форма 1. Информация об организации, осуществляющей холодное водоснабжение (общая информация)</v>
      </c>
      <c r="E4" s="2328"/>
      <c r="F4" s="2329"/>
      <c r="I4" s="885"/>
      <c r="J4" s="625">
        <v>26</v>
      </c>
    </row>
    <row customHeight="1" ht="18">
      <c r="D5" s="2346" t="str">
        <f>IF(org=0,"Не определено",org)</f>
        <v>МУП "Водоканал"</v>
      </c>
      <c r="E5" s="2346"/>
      <c r="F5" s="2346"/>
      <c r="I5" s="885"/>
      <c r="J5" s="625">
        <v>17</v>
      </c>
    </row>
    <row s="10157"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303</v>
      </c>
      <c r="E8" s="2375"/>
      <c r="F8" s="2375"/>
      <c r="G8" s="2378" t="s">
        <v>304</v>
      </c>
      <c r="J8" s="625">
        <v>11</v>
      </c>
    </row>
    <row customHeight="1" ht="11.549999999999999">
      <c r="A9" s="627"/>
      <c r="B9" s="672"/>
      <c r="C9" s="627"/>
      <c r="D9" s="642" t="s">
        <v>87</v>
      </c>
      <c r="E9" s="616" t="s">
        <v>305</v>
      </c>
      <c r="F9" s="616" t="s">
        <v>306</v>
      </c>
      <c r="G9" s="2379"/>
      <c r="J9" s="625">
        <v>11</v>
      </c>
    </row>
    <row customHeight="1" ht="12" hidden="1">
      <c r="A10" s="627"/>
      <c r="B10" s="672"/>
      <c r="C10" s="627"/>
      <c r="D10" s="634"/>
      <c r="E10" s="634"/>
      <c r="F10" s="634"/>
      <c r="G10" s="634"/>
      <c r="J10" s="625">
        <v>0</v>
      </c>
    </row>
    <row customHeight="1" ht="22.5" hidden="1">
      <c r="A11" s="627"/>
      <c r="B11" s="672"/>
      <c r="C11" s="627"/>
      <c r="D11" s="1179" t="s">
        <v>108</v>
      </c>
      <c r="E11" s="1182" t="s">
        <v>307</v>
      </c>
      <c r="F11" s="1181" t="str">
        <f>IF(region_name="","",region_name)</f>
        <v>Республика Марий Эл</v>
      </c>
      <c r="G11" s="1182" t="s">
        <v>308</v>
      </c>
      <c r="H11" s="645"/>
      <c r="J11" s="625">
        <v>0</v>
      </c>
    </row>
    <row customHeight="1" ht="22.5" hidden="1">
      <c r="A12" s="627"/>
      <c r="B12" s="672"/>
      <c r="C12" s="627"/>
      <c r="D12" s="615" t="s">
        <v>108</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309</v>
      </c>
      <c r="G12" s="644"/>
      <c r="H12" s="645"/>
      <c r="J12" s="625">
        <v>0</v>
      </c>
    </row>
    <row customHeight="1" ht="23.25">
      <c r="A13" s="627"/>
      <c r="B13" s="672"/>
      <c r="C13" s="627"/>
      <c r="D13" s="615" t="s">
        <v>108</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310</v>
      </c>
      <c r="E14" s="1180" t="s">
        <v>311</v>
      </c>
      <c r="F14" s="1181" t="str">
        <f>IF(inn="","",inn)</f>
        <v>1215020390</v>
      </c>
      <c r="G14" s="1182" t="s">
        <v>312</v>
      </c>
      <c r="H14" s="645"/>
      <c r="J14" s="625">
        <v>0</v>
      </c>
    </row>
    <row customHeight="1" ht="22.5" hidden="1">
      <c r="A15" s="627"/>
      <c r="B15" s="672"/>
      <c r="C15" s="627"/>
      <c r="D15" s="1179" t="s">
        <v>313</v>
      </c>
      <c r="E15" s="1180" t="s">
        <v>314</v>
      </c>
      <c r="F15" s="1181" t="str">
        <f>IF(kpp="","",kpp)</f>
        <v>121501001</v>
      </c>
      <c r="G15" s="1182" t="s">
        <v>315</v>
      </c>
      <c r="H15" s="645"/>
      <c r="J15" s="625">
        <v>0</v>
      </c>
    </row>
    <row customHeight="1" ht="39">
      <c r="A16" s="627"/>
      <c r="B16" s="672"/>
      <c r="C16" s="627"/>
      <c r="D16" s="615" t="s">
        <v>109</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89</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90</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316</v>
      </c>
      <c r="B19" s="672"/>
      <c r="C19" s="2383"/>
      <c r="D19" s="615" t="str">
        <f>A19</f>
        <v>5.1</v>
      </c>
      <c r="E19" s="612" t="s">
        <v>317</v>
      </c>
      <c r="F19" s="613" t="s">
        <v>309</v>
      </c>
      <c r="G19" s="614" t="s">
        <v>318</v>
      </c>
      <c r="H19" s="645"/>
      <c r="I19" s="1022"/>
      <c r="J19" s="625">
        <v>0</v>
      </c>
    </row>
    <row customHeight="1" ht="24" hidden="1">
      <c r="A20" s="2372"/>
      <c r="B20" s="672"/>
      <c r="C20" s="2383"/>
      <c r="D20" s="610" t="str">
        <f>D19&amp;".1"</f>
        <v>5.1.1</v>
      </c>
      <c r="E20" s="609" t="s">
        <v>319</v>
      </c>
      <c r="F20" s="1051" t="s">
        <v>28</v>
      </c>
      <c r="G20" s="644"/>
      <c r="H20" s="645"/>
      <c r="I20" s="1022"/>
      <c r="J20" s="625">
        <v>0</v>
      </c>
    </row>
    <row customHeight="1" ht="22.5" hidden="1">
      <c r="A21" s="2372"/>
      <c r="B21" s="672"/>
      <c r="C21" s="2383"/>
      <c r="D21" s="610" t="str">
        <f>D19&amp;".2"</f>
        <v>5.1.2</v>
      </c>
      <c r="E21" s="609" t="s">
        <v>320</v>
      </c>
      <c r="F21" s="1903" t="s">
        <v>28</v>
      </c>
      <c r="G21" s="614" t="s">
        <v>321</v>
      </c>
      <c r="H21" s="645"/>
      <c r="I21" s="1022"/>
      <c r="J21" s="625">
        <v>0</v>
      </c>
    </row>
    <row customHeight="1" ht="22.5" hidden="1">
      <c r="A22" s="2372"/>
      <c r="B22" s="672"/>
      <c r="C22" s="2383"/>
      <c r="D22" s="610" t="str">
        <f>D19&amp;".3"</f>
        <v>5.1.3</v>
      </c>
      <c r="E22" s="609" t="s">
        <v>322</v>
      </c>
      <c r="F22" s="1051" t="s">
        <v>28</v>
      </c>
      <c r="G22" s="644"/>
      <c r="H22" s="645"/>
      <c r="I22" s="1022"/>
      <c r="J22" s="625">
        <v>0</v>
      </c>
    </row>
    <row customHeight="1" ht="22.5" hidden="1">
      <c r="A23" s="2372"/>
      <c r="B23" s="672"/>
      <c r="C23" s="2383"/>
      <c r="D23" s="610" t="str">
        <f>D19&amp;".4"</f>
        <v>5.1.4</v>
      </c>
      <c r="E23" s="609" t="s">
        <v>323</v>
      </c>
      <c r="F23" s="1051" t="s">
        <v>28</v>
      </c>
      <c r="G23" s="614" t="s">
        <v>324</v>
      </c>
      <c r="H23" s="645"/>
      <c r="I23" s="1022"/>
      <c r="J23" s="625">
        <v>0</v>
      </c>
    </row>
    <row customHeight="1" ht="22.5" hidden="1">
      <c r="A24" s="2148"/>
      <c r="B24" s="672"/>
      <c r="C24" s="662"/>
      <c r="D24" s="637"/>
      <c r="E24" s="1338" t="s">
        <v>325</v>
      </c>
      <c r="F24" s="638"/>
      <c r="G24" s="639"/>
      <c r="H24" s="645"/>
      <c r="I24" s="1022"/>
      <c r="J24" s="625">
        <v>0</v>
      </c>
    </row>
    <row s="10198" customFormat="1" customHeight="1" ht="24.75" hidden="1">
      <c r="A25" s="627"/>
      <c r="B25" s="672"/>
      <c r="C25" s="672"/>
      <c r="D25" s="1176" t="s">
        <v>89</v>
      </c>
      <c r="E25" s="1178" t="s">
        <v>326</v>
      </c>
      <c r="F25" s="1183" t="s">
        <v>309</v>
      </c>
      <c r="G25" s="1178"/>
      <c r="J25" s="671">
        <v>0</v>
      </c>
    </row>
    <row s="10198" customFormat="1" customHeight="1" ht="11.25" hidden="1">
      <c r="A26" s="627"/>
      <c r="B26" s="672"/>
      <c r="C26" s="672"/>
      <c r="D26" s="1176" t="s">
        <v>327</v>
      </c>
      <c r="E26" s="1177" t="s">
        <v>328</v>
      </c>
      <c r="F26" s="1183" t="s">
        <v>309</v>
      </c>
      <c r="G26" s="1178"/>
      <c r="J26" s="671">
        <v>0</v>
      </c>
    </row>
    <row s="10198" customFormat="1" customHeight="1" ht="11.25" hidden="1">
      <c r="A27" s="627"/>
      <c r="B27" s="672"/>
      <c r="C27" s="672"/>
      <c r="D27" s="1176" t="s">
        <v>329</v>
      </c>
      <c r="E27" s="1184" t="s">
        <v>330</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71">
        <v>0</v>
      </c>
    </row>
    <row s="10198" customFormat="1" customHeight="1" ht="11.25" hidden="1">
      <c r="A28" s="627"/>
      <c r="B28" s="672"/>
      <c r="C28" s="672"/>
      <c r="D28" s="1176" t="s">
        <v>331</v>
      </c>
      <c r="E28" s="1184" t="s">
        <v>332</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71">
        <v>0</v>
      </c>
    </row>
    <row s="10198" customFormat="1" customHeight="1" ht="11.25" hidden="1">
      <c r="A29" s="627"/>
      <c r="B29" s="672"/>
      <c r="C29" s="672"/>
      <c r="D29" s="1176" t="s">
        <v>333</v>
      </c>
      <c r="E29" s="1184" t="s">
        <v>334</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71">
        <v>0</v>
      </c>
    </row>
    <row s="10198" customFormat="1" customHeight="1" ht="11.25" hidden="1">
      <c r="A30" s="627"/>
      <c r="B30" s="672"/>
      <c r="C30" s="672"/>
      <c r="D30" s="1176" t="s">
        <v>335</v>
      </c>
      <c r="E30" s="1177" t="s">
        <v>336</v>
      </c>
      <c r="F30" s="1185"/>
      <c r="G30" s="1178"/>
      <c r="J30" s="671">
        <v>0</v>
      </c>
    </row>
    <row s="10198" customFormat="1" customHeight="1" ht="11.25" hidden="1">
      <c r="A31" s="627"/>
      <c r="B31" s="672"/>
      <c r="C31" s="672"/>
      <c r="D31" s="1176" t="s">
        <v>337</v>
      </c>
      <c r="E31" s="1177" t="s">
        <v>338</v>
      </c>
      <c r="F31" s="1185"/>
      <c r="G31" s="1178"/>
      <c r="J31" s="671">
        <v>0</v>
      </c>
    </row>
    <row s="10198" customFormat="1" customHeight="1" ht="11.25" hidden="1">
      <c r="A32" s="627"/>
      <c r="B32" s="672"/>
      <c r="C32" s="672"/>
      <c r="D32" s="1176" t="s">
        <v>339</v>
      </c>
      <c r="E32" s="1177" t="s">
        <v>340</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309</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341</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341</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309</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342</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343</v>
      </c>
      <c r="H44" s="645"/>
      <c r="J44" s="625">
        <v>22</v>
      </c>
    </row>
    <row customHeight="1" ht="23.25">
      <c r="A45" s="627"/>
      <c r="B45" s="672"/>
      <c r="C45" s="627"/>
      <c r="D45" s="610">
        <f>D44+1</f>
        <v>11</v>
      </c>
      <c r="E45" s="608" t="s">
        <v>344</v>
      </c>
      <c r="F45" s="613" t="s">
        <v>309</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345</v>
      </c>
      <c r="H46" s="645"/>
      <c r="J46" s="625">
        <v>23</v>
      </c>
    </row>
    <row customHeight="1" ht="24">
      <c r="A47" s="2372"/>
      <c r="B47" s="672"/>
      <c r="C47" s="662"/>
      <c r="D47" s="610" t="str">
        <f>D45&amp;".2"</f>
        <v>11.2</v>
      </c>
      <c r="E47" s="612" t="s">
        <v>346</v>
      </c>
      <c r="F47" s="660"/>
      <c r="G47" s="607" t="s">
        <v>347</v>
      </c>
      <c r="H47" s="645"/>
      <c r="J47" s="625">
        <v>23</v>
      </c>
    </row>
    <row customHeight="1" ht="24">
      <c r="A48" s="2372"/>
      <c r="B48" s="672"/>
      <c r="C48" s="662"/>
      <c r="D48" s="610" t="str">
        <f>D45&amp;".3"</f>
        <v>11.3</v>
      </c>
      <c r="E48" s="612" t="s">
        <v>348</v>
      </c>
      <c r="F48" s="660"/>
      <c r="G48" s="607" t="s">
        <v>349</v>
      </c>
      <c r="H48" s="645"/>
      <c r="J48" s="625">
        <v>23</v>
      </c>
    </row>
    <row customHeight="1" ht="24">
      <c r="A49" s="2372"/>
      <c r="B49" s="672"/>
      <c r="C49" s="662"/>
      <c r="D49" s="610" t="str">
        <f>IF(TEMPLATE_SPHERE="TKO",D45&amp;".0",D45&amp;".4")</f>
        <v>11.4</v>
      </c>
      <c r="E49" s="606" t="s">
        <v>350</v>
      </c>
      <c r="F49" s="1855"/>
      <c r="G49" s="1932" t="s">
        <v>351</v>
      </c>
      <c r="H49" s="645"/>
      <c r="J49" s="625">
        <v>23</v>
      </c>
    </row>
    <row customHeight="1" ht="24">
      <c r="A50" s="627"/>
      <c r="B50" s="672"/>
      <c r="C50" s="627"/>
      <c r="D50" s="637"/>
      <c r="E50" s="585" t="s">
        <v>352</v>
      </c>
      <c r="F50" s="638"/>
      <c r="G50" s="1932" t="s">
        <v>353</v>
      </c>
      <c r="H50" s="646"/>
      <c r="J50" s="625">
        <v>23</v>
      </c>
    </row>
    <row customHeight="1" ht="24">
      <c r="A51" s="1028"/>
      <c r="B51" s="672"/>
      <c r="C51" s="662"/>
      <c r="D51" s="610">
        <f>D45+1</f>
        <v>12</v>
      </c>
      <c r="E51" s="698" t="s">
        <v>354</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10227"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10227" customFormat="1" customHeight="1" ht="42">
      <c r="A54" s="627"/>
      <c r="B54" s="672"/>
      <c r="C54" s="2373"/>
      <c r="D54" s="237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81</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90EDA-90EE-7D28-4A86-4D6AC2340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46B65-7508-1CFD-A65A-21ABB39AF0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D5271-6584-10EC-DD2C-4EA272FAB4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62B67-6833-C5BE-2E64-B7C01A54323A}" mc:Ignorable="x14ac xr xr2 xr3">
  <dimension ref="A1:E8"/>
  <sheetViews>
    <sheetView topLeftCell="A1" showGridLines="0" workbookViewId="0">
      <selection activeCell="A1" sqref="A1"/>
    </sheetView>
  </sheetViews>
  <sheetFormatPr customHeight="1" defaultRowHeight="11.25"/>
  <cols>
    <col min="1" max="1" style="13440" width="10.57421875" customWidth="1"/>
    <col min="2" max="2" style="13440" width="8.7109375" customWidth="1"/>
    <col min="3" max="3" style="13440" width="18.140625" customWidth="1"/>
    <col min="4" max="4" style="13440" width="12.57421875" customWidth="1"/>
  </cols>
  <sheetData>
    <row customHeight="1" ht="11.25">
      <c r="A1" s="2785" t="s">
        <v>2245</v>
      </c>
      <c r="B1" s="2786" t="s">
        <v>2246</v>
      </c>
      <c r="C1" s="2787" t="s">
        <v>2247</v>
      </c>
      <c r="D1" s="2788"/>
      <c r="E1" s="1006" t="s">
        <v>2248</v>
      </c>
    </row>
    <row customHeight="1" ht="11.25">
      <c r="A2" s="2789"/>
      <c r="B2" s="935" t="s">
        <v>26</v>
      </c>
      <c r="C2" s="923"/>
      <c r="D2" s="934"/>
      <c r="E2" s="1006"/>
    </row>
    <row customHeight="1" ht="11.25">
      <c r="A3" s="2790"/>
      <c r="B3" s="2791" t="s">
        <v>33</v>
      </c>
      <c r="C3" s="923"/>
      <c r="D3" s="934"/>
      <c r="E3" s="1006"/>
    </row>
    <row customHeight="1" ht="11.25">
      <c r="A4" s="2792"/>
      <c r="B4" s="936" t="s">
        <v>1673</v>
      </c>
      <c r="C4" s="923"/>
      <c r="D4" s="934"/>
      <c r="E4" s="1006"/>
    </row>
    <row customHeight="1" ht="11.25">
      <c r="A5" s="2793"/>
      <c r="B5" s="936" t="s">
        <v>1667</v>
      </c>
      <c r="C5" s="2794" t="s">
        <v>2012</v>
      </c>
      <c r="D5" s="2795" t="s">
        <v>2249</v>
      </c>
      <c r="E5" s="1006"/>
    </row>
    <row s="9727" customFormat="1" customHeight="1" ht="11.25">
      <c r="A6" s="2796"/>
      <c r="B6" s="936" t="s">
        <v>1677</v>
      </c>
      <c r="C6" s="923"/>
      <c r="D6" s="934"/>
      <c r="E6" s="1006"/>
    </row>
    <row customHeight="1" ht="11.25">
      <c r="A7" s="2797"/>
      <c r="B7" s="936" t="s">
        <v>1684</v>
      </c>
      <c r="C7" s="923"/>
      <c r="D7" s="934"/>
      <c r="E7" s="1006"/>
    </row>
    <row customHeight="1" ht="11.25">
      <c r="A8" s="926"/>
      <c r="B8" s="936" t="s">
        <v>1680</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6F6AC-8544-7329-F08B-C73F39267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FF46F-15B7-2CA1-7496-0CA33E3077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449FD-4B06-9926-F3F7-22C669F70C67}" mc:Ignorable="x14ac xr xr2 xr3">
  <sheetPr>
    <tabColor rgb="FFFFCC99"/>
  </sheetPr>
  <dimension ref="A1:I235"/>
  <sheetViews>
    <sheetView topLeftCell="A1" showGridLines="0" workbookViewId="0">
      <selection activeCell="A1" sqref="A1"/>
    </sheetView>
  </sheetViews>
  <sheetFormatPr defaultColWidth="9.140625" customHeight="1" defaultRowHeight="11.25"/>
  <cols>
    <col min="1" max="2" style="9727" width="9.140625"/>
    <col min="3" max="3" style="9727" width="20.7109375" customWidth="1"/>
    <col min="4" max="4" style="9727" width="25.140625" customWidth="1"/>
    <col min="5" max="9" style="9727" width="9.140625"/>
  </cols>
  <sheetData>
    <row customHeight="1" ht="11.25">
      <c r="A1" s="238" t="s">
        <v>2250</v>
      </c>
      <c r="B1" s="238" t="s">
        <v>2251</v>
      </c>
      <c r="C1" s="238" t="s">
        <v>2252</v>
      </c>
      <c r="D1" s="238" t="s">
        <v>2253</v>
      </c>
      <c r="E1" s="238" t="s">
        <v>2254</v>
      </c>
      <c r="F1" s="238" t="s">
        <v>2255</v>
      </c>
      <c r="G1" s="238" t="s">
        <v>2256</v>
      </c>
      <c r="H1" s="238" t="s">
        <v>2257</v>
      </c>
      <c r="I1" s="238" t="s">
        <v>2258</v>
      </c>
    </row>
    <row customHeight="1" ht="11.25">
      <c r="A2" s="5521" t="s">
        <v>2259</v>
      </c>
      <c r="B2" s="5521" t="s">
        <v>16</v>
      </c>
      <c r="C2" s="5521" t="s">
        <v>2260</v>
      </c>
      <c r="D2" s="5521" t="s">
        <v>2261</v>
      </c>
      <c r="E2" s="5521" t="s">
        <v>2262</v>
      </c>
      <c r="F2" s="5521" t="s">
        <v>2263</v>
      </c>
      <c r="G2" s="5521" t="s">
        <v>28</v>
      </c>
      <c r="H2" s="5521" t="s">
        <v>28</v>
      </c>
      <c r="I2" s="5521" t="s">
        <v>819</v>
      </c>
    </row>
    <row customHeight="1" ht="11.25">
      <c r="A3" s="5521" t="s">
        <v>2259</v>
      </c>
      <c r="B3" s="5521" t="s">
        <v>16</v>
      </c>
      <c r="C3" s="5521" t="s">
        <v>2264</v>
      </c>
      <c r="D3" s="5521" t="s">
        <v>2261</v>
      </c>
      <c r="E3" s="5521" t="s">
        <v>2262</v>
      </c>
      <c r="F3" s="5521" t="s">
        <v>2265</v>
      </c>
      <c r="G3" s="5521" t="s">
        <v>28</v>
      </c>
      <c r="H3" s="5521" t="s">
        <v>28</v>
      </c>
      <c r="I3" s="5521" t="s">
        <v>819</v>
      </c>
    </row>
    <row customHeight="1" ht="11.25">
      <c r="A4" s="5521" t="s">
        <v>2259</v>
      </c>
      <c r="B4" s="5521" t="s">
        <v>16</v>
      </c>
      <c r="C4" s="5521" t="s">
        <v>2266</v>
      </c>
      <c r="D4" s="5521" t="s">
        <v>2267</v>
      </c>
      <c r="E4" s="5521" t="s">
        <v>2268</v>
      </c>
      <c r="F4" s="5521" t="s">
        <v>51</v>
      </c>
      <c r="G4" s="5521" t="s">
        <v>28</v>
      </c>
      <c r="H4" s="5521" t="s">
        <v>28</v>
      </c>
      <c r="I4" s="5521" t="s">
        <v>819</v>
      </c>
    </row>
    <row customHeight="1" ht="11.25">
      <c r="A5" s="5521" t="s">
        <v>2259</v>
      </c>
      <c r="B5" s="5521" t="s">
        <v>16</v>
      </c>
      <c r="C5" s="5521" t="s">
        <v>2269</v>
      </c>
      <c r="D5" s="5521" t="s">
        <v>2270</v>
      </c>
      <c r="E5" s="5521" t="s">
        <v>2271</v>
      </c>
      <c r="F5" s="5521" t="s">
        <v>2272</v>
      </c>
      <c r="G5" s="5521" t="s">
        <v>2273</v>
      </c>
      <c r="H5" s="5521" t="s">
        <v>28</v>
      </c>
      <c r="I5" s="5521" t="s">
        <v>819</v>
      </c>
    </row>
    <row customHeight="1" ht="11.25">
      <c r="A6" s="5521" t="s">
        <v>2259</v>
      </c>
      <c r="B6" s="5521" t="s">
        <v>16</v>
      </c>
      <c r="C6" s="5521" t="s">
        <v>2274</v>
      </c>
      <c r="D6" s="5521" t="s">
        <v>2275</v>
      </c>
      <c r="E6" s="5521" t="s">
        <v>2276</v>
      </c>
      <c r="F6" s="5521" t="s">
        <v>2277</v>
      </c>
      <c r="G6" s="5521" t="s">
        <v>28</v>
      </c>
      <c r="H6" s="5521" t="s">
        <v>28</v>
      </c>
      <c r="I6" s="5521" t="s">
        <v>819</v>
      </c>
    </row>
    <row customHeight="1" ht="11.25">
      <c r="A7" s="5521" t="s">
        <v>2259</v>
      </c>
      <c r="B7" s="5521" t="s">
        <v>16</v>
      </c>
      <c r="C7" s="5521" t="s">
        <v>2278</v>
      </c>
      <c r="D7" s="5521" t="s">
        <v>2279</v>
      </c>
      <c r="E7" s="5521" t="s">
        <v>2280</v>
      </c>
      <c r="F7" s="5521" t="s">
        <v>2272</v>
      </c>
      <c r="G7" s="5521" t="s">
        <v>2281</v>
      </c>
      <c r="H7" s="5521" t="s">
        <v>28</v>
      </c>
      <c r="I7" s="5521" t="s">
        <v>819</v>
      </c>
    </row>
    <row customHeight="1" ht="11.25">
      <c r="A8" s="5521" t="s">
        <v>2259</v>
      </c>
      <c r="B8" s="5521" t="s">
        <v>16</v>
      </c>
      <c r="C8" s="5521" t="s">
        <v>2282</v>
      </c>
      <c r="D8" s="5521" t="s">
        <v>2283</v>
      </c>
      <c r="E8" s="5521" t="s">
        <v>2284</v>
      </c>
      <c r="F8" s="5521" t="s">
        <v>2285</v>
      </c>
      <c r="G8" s="5521" t="s">
        <v>28</v>
      </c>
      <c r="H8" s="5521" t="s">
        <v>28</v>
      </c>
      <c r="I8" s="5521" t="s">
        <v>819</v>
      </c>
    </row>
    <row customHeight="1" ht="11.25">
      <c r="A9" s="5521" t="s">
        <v>2259</v>
      </c>
      <c r="B9" s="5521" t="s">
        <v>16</v>
      </c>
      <c r="C9" s="5521" t="s">
        <v>2286</v>
      </c>
      <c r="D9" s="5521" t="s">
        <v>2287</v>
      </c>
      <c r="E9" s="5521" t="s">
        <v>2288</v>
      </c>
      <c r="F9" s="5521" t="s">
        <v>2272</v>
      </c>
      <c r="G9" s="5521" t="s">
        <v>2289</v>
      </c>
      <c r="H9" s="5521" t="s">
        <v>28</v>
      </c>
      <c r="I9" s="5521" t="s">
        <v>819</v>
      </c>
    </row>
    <row customHeight="1" ht="11.25">
      <c r="A10" s="5521" t="s">
        <v>2259</v>
      </c>
      <c r="B10" s="5521" t="s">
        <v>16</v>
      </c>
      <c r="C10" s="5521" t="s">
        <v>28</v>
      </c>
      <c r="D10" s="5521" t="s">
        <v>2290</v>
      </c>
      <c r="E10" s="5521" t="s">
        <v>2291</v>
      </c>
      <c r="F10" s="5521" t="s">
        <v>51</v>
      </c>
      <c r="G10" s="5521" t="s">
        <v>28</v>
      </c>
      <c r="H10" s="5521" t="s">
        <v>28</v>
      </c>
      <c r="I10" s="5521" t="s">
        <v>819</v>
      </c>
    </row>
    <row customHeight="1" ht="11.25">
      <c r="A11" s="5521" t="s">
        <v>2259</v>
      </c>
      <c r="B11" s="5521" t="s">
        <v>16</v>
      </c>
      <c r="C11" s="5521" t="s">
        <v>2292</v>
      </c>
      <c r="D11" s="5521" t="s">
        <v>2293</v>
      </c>
      <c r="E11" s="5521" t="s">
        <v>2294</v>
      </c>
      <c r="F11" s="5521" t="s">
        <v>2295</v>
      </c>
      <c r="G11" s="5521" t="s">
        <v>2296</v>
      </c>
      <c r="H11" s="5521" t="s">
        <v>28</v>
      </c>
      <c r="I11" s="5521" t="s">
        <v>819</v>
      </c>
    </row>
    <row customHeight="1" ht="11.25">
      <c r="A12" s="5521" t="s">
        <v>2259</v>
      </c>
      <c r="B12" s="5521" t="s">
        <v>16</v>
      </c>
      <c r="C12" s="5521" t="s">
        <v>2297</v>
      </c>
      <c r="D12" s="5521" t="s">
        <v>2298</v>
      </c>
      <c r="E12" s="5521" t="s">
        <v>2299</v>
      </c>
      <c r="F12" s="5521" t="s">
        <v>2300</v>
      </c>
      <c r="G12" s="5521" t="s">
        <v>28</v>
      </c>
      <c r="H12" s="5521" t="s">
        <v>28</v>
      </c>
      <c r="I12" s="5521" t="s">
        <v>819</v>
      </c>
    </row>
    <row customHeight="1" ht="11.25">
      <c r="A13" s="5521" t="s">
        <v>2259</v>
      </c>
      <c r="B13" s="5521" t="s">
        <v>16</v>
      </c>
      <c r="C13" s="5521" t="s">
        <v>2301</v>
      </c>
      <c r="D13" s="5521" t="s">
        <v>2302</v>
      </c>
      <c r="E13" s="5521" t="s">
        <v>2303</v>
      </c>
      <c r="F13" s="5521" t="s">
        <v>2304</v>
      </c>
      <c r="G13" s="5521" t="s">
        <v>2305</v>
      </c>
      <c r="H13" s="5521" t="s">
        <v>28</v>
      </c>
      <c r="I13" s="5521" t="s">
        <v>819</v>
      </c>
    </row>
    <row customHeight="1" ht="11.25">
      <c r="A14" s="5521" t="s">
        <v>2259</v>
      </c>
      <c r="B14" s="5521" t="s">
        <v>16</v>
      </c>
      <c r="C14" s="5521" t="s">
        <v>2306</v>
      </c>
      <c r="D14" s="5521" t="s">
        <v>2307</v>
      </c>
      <c r="E14" s="5521" t="s">
        <v>2308</v>
      </c>
      <c r="F14" s="5521" t="s">
        <v>51</v>
      </c>
      <c r="G14" s="5521" t="s">
        <v>2309</v>
      </c>
      <c r="H14" s="5521" t="s">
        <v>28</v>
      </c>
      <c r="I14" s="5521" t="s">
        <v>819</v>
      </c>
    </row>
    <row customHeight="1" ht="11.25">
      <c r="A15" s="5521" t="s">
        <v>2259</v>
      </c>
      <c r="B15" s="5521" t="s">
        <v>16</v>
      </c>
      <c r="C15" s="5521" t="s">
        <v>2310</v>
      </c>
      <c r="D15" s="5521" t="s">
        <v>2311</v>
      </c>
      <c r="E15" s="5521" t="s">
        <v>2312</v>
      </c>
      <c r="F15" s="5521" t="s">
        <v>2313</v>
      </c>
      <c r="G15" s="5521" t="s">
        <v>2314</v>
      </c>
      <c r="H15" s="5521" t="s">
        <v>28</v>
      </c>
      <c r="I15" s="5521" t="s">
        <v>819</v>
      </c>
    </row>
    <row customHeight="1" ht="11.25">
      <c r="A16" s="5521" t="s">
        <v>2259</v>
      </c>
      <c r="B16" s="5521" t="s">
        <v>16</v>
      </c>
      <c r="C16" s="5521" t="s">
        <v>2315</v>
      </c>
      <c r="D16" s="5521" t="s">
        <v>2316</v>
      </c>
      <c r="E16" s="5521" t="s">
        <v>2317</v>
      </c>
      <c r="F16" s="5521" t="s">
        <v>2318</v>
      </c>
      <c r="G16" s="5521" t="s">
        <v>2319</v>
      </c>
      <c r="H16" s="5521" t="s">
        <v>28</v>
      </c>
      <c r="I16" s="5521" t="s">
        <v>819</v>
      </c>
    </row>
    <row customHeight="1" ht="11.25">
      <c r="A17" s="5521" t="s">
        <v>2259</v>
      </c>
      <c r="B17" s="5521" t="s">
        <v>16</v>
      </c>
      <c r="C17" s="5521" t="s">
        <v>2320</v>
      </c>
      <c r="D17" s="5521" t="s">
        <v>2321</v>
      </c>
      <c r="E17" s="5521" t="s">
        <v>2322</v>
      </c>
      <c r="F17" s="5521" t="s">
        <v>2323</v>
      </c>
      <c r="G17" s="5521" t="s">
        <v>28</v>
      </c>
      <c r="H17" s="5521" t="s">
        <v>28</v>
      </c>
      <c r="I17" s="5521" t="s">
        <v>819</v>
      </c>
    </row>
    <row customHeight="1" ht="11.25">
      <c r="A18" s="5521" t="s">
        <v>2259</v>
      </c>
      <c r="B18" s="5521" t="s">
        <v>16</v>
      </c>
      <c r="C18" s="5521" t="s">
        <v>2324</v>
      </c>
      <c r="D18" s="5521" t="s">
        <v>2325</v>
      </c>
      <c r="E18" s="5521" t="s">
        <v>2326</v>
      </c>
      <c r="F18" s="5521" t="s">
        <v>51</v>
      </c>
      <c r="G18" s="5521" t="s">
        <v>2327</v>
      </c>
      <c r="H18" s="5521" t="s">
        <v>28</v>
      </c>
      <c r="I18" s="5521" t="s">
        <v>819</v>
      </c>
    </row>
    <row customHeight="1" ht="11.25">
      <c r="A19" s="5521" t="s">
        <v>2259</v>
      </c>
      <c r="B19" s="5521" t="s">
        <v>16</v>
      </c>
      <c r="C19" s="5521" t="s">
        <v>2328</v>
      </c>
      <c r="D19" s="5521" t="s">
        <v>2329</v>
      </c>
      <c r="E19" s="5521" t="s">
        <v>2330</v>
      </c>
      <c r="F19" s="5521" t="s">
        <v>51</v>
      </c>
      <c r="G19" s="5521" t="s">
        <v>2331</v>
      </c>
      <c r="H19" s="5521" t="s">
        <v>28</v>
      </c>
      <c r="I19" s="5521" t="s">
        <v>819</v>
      </c>
    </row>
    <row customHeight="1" ht="11.25">
      <c r="A20" s="5521" t="s">
        <v>2259</v>
      </c>
      <c r="B20" s="5521" t="s">
        <v>16</v>
      </c>
      <c r="C20" s="5521" t="s">
        <v>2332</v>
      </c>
      <c r="D20" s="5521" t="s">
        <v>2333</v>
      </c>
      <c r="E20" s="5521" t="s">
        <v>2334</v>
      </c>
      <c r="F20" s="5521" t="s">
        <v>51</v>
      </c>
      <c r="G20" s="5521" t="s">
        <v>28</v>
      </c>
      <c r="H20" s="5521" t="s">
        <v>28</v>
      </c>
      <c r="I20" s="5521" t="s">
        <v>819</v>
      </c>
    </row>
    <row customHeight="1" ht="11.25">
      <c r="A21" s="5521" t="s">
        <v>2259</v>
      </c>
      <c r="B21" s="5521" t="s">
        <v>16</v>
      </c>
      <c r="C21" s="5521" t="s">
        <v>2335</v>
      </c>
      <c r="D21" s="5521" t="s">
        <v>2336</v>
      </c>
      <c r="E21" s="5521" t="s">
        <v>2337</v>
      </c>
      <c r="F21" s="5521" t="s">
        <v>2338</v>
      </c>
      <c r="G21" s="5521" t="s">
        <v>2339</v>
      </c>
      <c r="H21" s="5521" t="s">
        <v>28</v>
      </c>
      <c r="I21" s="5521" t="s">
        <v>819</v>
      </c>
    </row>
    <row customHeight="1" ht="11.25">
      <c r="A22" s="5521" t="s">
        <v>2259</v>
      </c>
      <c r="B22" s="5521" t="s">
        <v>16</v>
      </c>
      <c r="C22" s="5521" t="s">
        <v>2340</v>
      </c>
      <c r="D22" s="5521" t="s">
        <v>2341</v>
      </c>
      <c r="E22" s="5521" t="s">
        <v>2342</v>
      </c>
      <c r="F22" s="5521" t="s">
        <v>51</v>
      </c>
      <c r="G22" s="5521" t="s">
        <v>2343</v>
      </c>
      <c r="H22" s="5521" t="s">
        <v>28</v>
      </c>
      <c r="I22" s="5521" t="s">
        <v>819</v>
      </c>
    </row>
    <row customHeight="1" ht="11.25">
      <c r="A23" s="5521" t="s">
        <v>2259</v>
      </c>
      <c r="B23" s="5521" t="s">
        <v>16</v>
      </c>
      <c r="C23" s="5521" t="s">
        <v>2344</v>
      </c>
      <c r="D23" s="5521" t="s">
        <v>2345</v>
      </c>
      <c r="E23" s="5521" t="s">
        <v>2346</v>
      </c>
      <c r="F23" s="5521" t="s">
        <v>51</v>
      </c>
      <c r="G23" s="5521" t="s">
        <v>28</v>
      </c>
      <c r="H23" s="5521" t="s">
        <v>28</v>
      </c>
      <c r="I23" s="5521" t="s">
        <v>819</v>
      </c>
    </row>
    <row customHeight="1" ht="11.25">
      <c r="A24" s="5521" t="s">
        <v>2259</v>
      </c>
      <c r="B24" s="5521" t="s">
        <v>16</v>
      </c>
      <c r="C24" s="5521" t="s">
        <v>2347</v>
      </c>
      <c r="D24" s="5521" t="s">
        <v>2348</v>
      </c>
      <c r="E24" s="5521" t="s">
        <v>2349</v>
      </c>
      <c r="F24" s="5521" t="s">
        <v>2350</v>
      </c>
      <c r="G24" s="5521" t="s">
        <v>28</v>
      </c>
      <c r="H24" s="5521" t="s">
        <v>28</v>
      </c>
      <c r="I24" s="5521" t="s">
        <v>819</v>
      </c>
    </row>
    <row customHeight="1" ht="11.25">
      <c r="A25" s="5521" t="s">
        <v>2259</v>
      </c>
      <c r="B25" s="5521" t="s">
        <v>16</v>
      </c>
      <c r="C25" s="5521" t="s">
        <v>2351</v>
      </c>
      <c r="D25" s="5521" t="s">
        <v>2352</v>
      </c>
      <c r="E25" s="5521" t="s">
        <v>2353</v>
      </c>
      <c r="F25" s="5521" t="s">
        <v>2300</v>
      </c>
      <c r="G25" s="5521" t="s">
        <v>2354</v>
      </c>
      <c r="H25" s="5521" t="s">
        <v>28</v>
      </c>
      <c r="I25" s="5521" t="s">
        <v>819</v>
      </c>
    </row>
    <row customHeight="1" ht="11.25">
      <c r="A26" s="5521" t="s">
        <v>2259</v>
      </c>
      <c r="B26" s="5521" t="s">
        <v>16</v>
      </c>
      <c r="C26" s="5521" t="s">
        <v>2355</v>
      </c>
      <c r="D26" s="5521" t="s">
        <v>2356</v>
      </c>
      <c r="E26" s="5521" t="s">
        <v>2357</v>
      </c>
      <c r="F26" s="5521" t="s">
        <v>51</v>
      </c>
      <c r="G26" s="5521" t="s">
        <v>2358</v>
      </c>
      <c r="H26" s="5521" t="s">
        <v>28</v>
      </c>
      <c r="I26" s="5521" t="s">
        <v>819</v>
      </c>
    </row>
    <row customHeight="1" ht="11.25">
      <c r="A27" s="5521" t="s">
        <v>2259</v>
      </c>
      <c r="B27" s="5521" t="s">
        <v>16</v>
      </c>
      <c r="C27" s="5521" t="s">
        <v>2359</v>
      </c>
      <c r="D27" s="5521" t="s">
        <v>2360</v>
      </c>
      <c r="E27" s="5521" t="s">
        <v>2361</v>
      </c>
      <c r="F27" s="5521" t="s">
        <v>2362</v>
      </c>
      <c r="G27" s="5521" t="s">
        <v>28</v>
      </c>
      <c r="H27" s="5521" t="s">
        <v>28</v>
      </c>
      <c r="I27" s="5521" t="s">
        <v>819</v>
      </c>
    </row>
    <row customHeight="1" ht="11.25">
      <c r="A28" s="5521" t="s">
        <v>2259</v>
      </c>
      <c r="B28" s="5521" t="s">
        <v>16</v>
      </c>
      <c r="C28" s="5521" t="s">
        <v>2363</v>
      </c>
      <c r="D28" s="5521" t="s">
        <v>2364</v>
      </c>
      <c r="E28" s="5521" t="s">
        <v>2365</v>
      </c>
      <c r="F28" s="5521" t="s">
        <v>2366</v>
      </c>
      <c r="G28" s="5521" t="s">
        <v>2367</v>
      </c>
      <c r="H28" s="5521" t="s">
        <v>28</v>
      </c>
      <c r="I28" s="5521" t="s">
        <v>819</v>
      </c>
    </row>
    <row customHeight="1" ht="11.25">
      <c r="A29" s="5521" t="s">
        <v>2259</v>
      </c>
      <c r="B29" s="5521" t="s">
        <v>16</v>
      </c>
      <c r="C29" s="5521" t="s">
        <v>2368</v>
      </c>
      <c r="D29" s="5521" t="s">
        <v>2369</v>
      </c>
      <c r="E29" s="5521" t="s">
        <v>2370</v>
      </c>
      <c r="F29" s="5521" t="s">
        <v>51</v>
      </c>
      <c r="G29" s="5521" t="s">
        <v>2371</v>
      </c>
      <c r="H29" s="5521" t="s">
        <v>28</v>
      </c>
      <c r="I29" s="5521" t="s">
        <v>819</v>
      </c>
    </row>
    <row customHeight="1" ht="11.25">
      <c r="A30" s="5521" t="s">
        <v>2259</v>
      </c>
      <c r="B30" s="5521" t="s">
        <v>16</v>
      </c>
      <c r="C30" s="5521" t="s">
        <v>2372</v>
      </c>
      <c r="D30" s="5521" t="s">
        <v>2373</v>
      </c>
      <c r="E30" s="5521" t="s">
        <v>2374</v>
      </c>
      <c r="F30" s="5521" t="s">
        <v>51</v>
      </c>
      <c r="G30" s="5521" t="s">
        <v>2375</v>
      </c>
      <c r="H30" s="5521" t="s">
        <v>28</v>
      </c>
      <c r="I30" s="5521" t="s">
        <v>819</v>
      </c>
    </row>
    <row customHeight="1" ht="11.25">
      <c r="A31" s="5521" t="s">
        <v>2259</v>
      </c>
      <c r="B31" s="5521" t="s">
        <v>16</v>
      </c>
      <c r="C31" s="5521" t="s">
        <v>2376</v>
      </c>
      <c r="D31" s="5521" t="s">
        <v>2377</v>
      </c>
      <c r="E31" s="5521" t="s">
        <v>2378</v>
      </c>
      <c r="F31" s="5521" t="s">
        <v>2350</v>
      </c>
      <c r="G31" s="5521" t="s">
        <v>28</v>
      </c>
      <c r="H31" s="5521" t="s">
        <v>28</v>
      </c>
      <c r="I31" s="5521" t="s">
        <v>819</v>
      </c>
    </row>
    <row customHeight="1" ht="11.25">
      <c r="A32" s="5521" t="s">
        <v>2259</v>
      </c>
      <c r="B32" s="5521" t="s">
        <v>16</v>
      </c>
      <c r="C32" s="5521" t="s">
        <v>2379</v>
      </c>
      <c r="D32" s="5521" t="s">
        <v>2380</v>
      </c>
      <c r="E32" s="5521" t="s">
        <v>2381</v>
      </c>
      <c r="F32" s="5521" t="s">
        <v>2285</v>
      </c>
      <c r="G32" s="5521" t="s">
        <v>28</v>
      </c>
      <c r="H32" s="5521" t="s">
        <v>28</v>
      </c>
      <c r="I32" s="5521" t="s">
        <v>819</v>
      </c>
    </row>
    <row customHeight="1" ht="11.25">
      <c r="A33" s="5521" t="s">
        <v>2259</v>
      </c>
      <c r="B33" s="5521" t="s">
        <v>16</v>
      </c>
      <c r="C33" s="5521" t="s">
        <v>2382</v>
      </c>
      <c r="D33" s="5521" t="s">
        <v>2383</v>
      </c>
      <c r="E33" s="5521" t="s">
        <v>2384</v>
      </c>
      <c r="F33" s="5521" t="s">
        <v>2285</v>
      </c>
      <c r="G33" s="5521" t="s">
        <v>28</v>
      </c>
      <c r="H33" s="5521" t="s">
        <v>28</v>
      </c>
      <c r="I33" s="5521" t="s">
        <v>819</v>
      </c>
    </row>
    <row customHeight="1" ht="11.25">
      <c r="A34" s="5521" t="s">
        <v>2259</v>
      </c>
      <c r="B34" s="5521" t="s">
        <v>16</v>
      </c>
      <c r="C34" s="5521" t="s">
        <v>2385</v>
      </c>
      <c r="D34" s="5521" t="s">
        <v>2386</v>
      </c>
      <c r="E34" s="5521" t="s">
        <v>2387</v>
      </c>
      <c r="F34" s="5521" t="s">
        <v>2388</v>
      </c>
      <c r="G34" s="5521" t="s">
        <v>2389</v>
      </c>
      <c r="H34" s="5521" t="s">
        <v>28</v>
      </c>
      <c r="I34" s="5521" t="s">
        <v>819</v>
      </c>
    </row>
    <row customHeight="1" ht="11.25">
      <c r="A35" s="5521" t="s">
        <v>2259</v>
      </c>
      <c r="B35" s="5521" t="s">
        <v>16</v>
      </c>
      <c r="C35" s="5521" t="s">
        <v>2390</v>
      </c>
      <c r="D35" s="5521" t="s">
        <v>2391</v>
      </c>
      <c r="E35" s="5521" t="s">
        <v>2392</v>
      </c>
      <c r="F35" s="5521" t="s">
        <v>51</v>
      </c>
      <c r="G35" s="5521" t="s">
        <v>28</v>
      </c>
      <c r="H35" s="5521" t="s">
        <v>28</v>
      </c>
      <c r="I35" s="5521" t="s">
        <v>819</v>
      </c>
    </row>
    <row customHeight="1" ht="11.25">
      <c r="A36" s="5521" t="s">
        <v>2259</v>
      </c>
      <c r="B36" s="5521" t="s">
        <v>16</v>
      </c>
      <c r="C36" s="5521" t="s">
        <v>2393</v>
      </c>
      <c r="D36" s="5521" t="s">
        <v>2394</v>
      </c>
      <c r="E36" s="5521" t="s">
        <v>2395</v>
      </c>
      <c r="F36" s="5521" t="s">
        <v>2396</v>
      </c>
      <c r="G36" s="5521" t="s">
        <v>2397</v>
      </c>
      <c r="H36" s="5521" t="s">
        <v>28</v>
      </c>
      <c r="I36" s="5521" t="s">
        <v>819</v>
      </c>
    </row>
    <row customHeight="1" ht="11.25">
      <c r="A37" s="5521" t="s">
        <v>2259</v>
      </c>
      <c r="B37" s="5521" t="s">
        <v>16</v>
      </c>
      <c r="C37" s="5521" t="s">
        <v>2398</v>
      </c>
      <c r="D37" s="5521" t="s">
        <v>2399</v>
      </c>
      <c r="E37" s="5521" t="s">
        <v>2400</v>
      </c>
      <c r="F37" s="5521" t="s">
        <v>51</v>
      </c>
      <c r="G37" s="5521" t="s">
        <v>28</v>
      </c>
      <c r="H37" s="5521" t="s">
        <v>28</v>
      </c>
      <c r="I37" s="5521" t="s">
        <v>819</v>
      </c>
    </row>
    <row customHeight="1" ht="11.25">
      <c r="A38" s="5521" t="s">
        <v>2259</v>
      </c>
      <c r="B38" s="5521" t="s">
        <v>16</v>
      </c>
      <c r="C38" s="5521" t="s">
        <v>2401</v>
      </c>
      <c r="D38" s="5521" t="s">
        <v>2402</v>
      </c>
      <c r="E38" s="5521" t="s">
        <v>2403</v>
      </c>
      <c r="F38" s="5521" t="s">
        <v>2404</v>
      </c>
      <c r="G38" s="5521" t="s">
        <v>28</v>
      </c>
      <c r="H38" s="5521" t="s">
        <v>28</v>
      </c>
      <c r="I38" s="5521" t="s">
        <v>819</v>
      </c>
    </row>
    <row customHeight="1" ht="11.25">
      <c r="A39" s="5521" t="s">
        <v>2259</v>
      </c>
      <c r="B39" s="5521" t="s">
        <v>16</v>
      </c>
      <c r="C39" s="5521" t="s">
        <v>2405</v>
      </c>
      <c r="D39" s="5521" t="s">
        <v>2406</v>
      </c>
      <c r="E39" s="5521" t="s">
        <v>2407</v>
      </c>
      <c r="F39" s="5521" t="s">
        <v>2285</v>
      </c>
      <c r="G39" s="5521" t="s">
        <v>28</v>
      </c>
      <c r="H39" s="5521" t="s">
        <v>28</v>
      </c>
      <c r="I39" s="5521" t="s">
        <v>819</v>
      </c>
    </row>
    <row customHeight="1" ht="11.25">
      <c r="A40" s="5521" t="s">
        <v>2259</v>
      </c>
      <c r="B40" s="5521" t="s">
        <v>16</v>
      </c>
      <c r="C40" s="5521" t="s">
        <v>2408</v>
      </c>
      <c r="D40" s="5521" t="s">
        <v>2409</v>
      </c>
      <c r="E40" s="5521" t="s">
        <v>2410</v>
      </c>
      <c r="F40" s="5521" t="s">
        <v>51</v>
      </c>
      <c r="G40" s="5521" t="s">
        <v>2411</v>
      </c>
      <c r="H40" s="5521" t="s">
        <v>28</v>
      </c>
      <c r="I40" s="5521" t="s">
        <v>819</v>
      </c>
    </row>
    <row customHeight="1" ht="11.25">
      <c r="A41" s="5521" t="s">
        <v>2259</v>
      </c>
      <c r="B41" s="5521" t="s">
        <v>16</v>
      </c>
      <c r="C41" s="5521" t="s">
        <v>2412</v>
      </c>
      <c r="D41" s="5521" t="s">
        <v>2413</v>
      </c>
      <c r="E41" s="5521" t="s">
        <v>2414</v>
      </c>
      <c r="F41" s="5521" t="s">
        <v>2285</v>
      </c>
      <c r="G41" s="5521" t="s">
        <v>2415</v>
      </c>
      <c r="H41" s="5521" t="s">
        <v>28</v>
      </c>
      <c r="I41" s="5521" t="s">
        <v>819</v>
      </c>
    </row>
    <row customHeight="1" ht="11.25">
      <c r="A42" s="5521" t="s">
        <v>2259</v>
      </c>
      <c r="B42" s="5521" t="s">
        <v>16</v>
      </c>
      <c r="C42" s="5521" t="s">
        <v>2416</v>
      </c>
      <c r="D42" s="5521" t="s">
        <v>2417</v>
      </c>
      <c r="E42" s="5521" t="s">
        <v>2418</v>
      </c>
      <c r="F42" s="5521" t="s">
        <v>2404</v>
      </c>
      <c r="G42" s="5521" t="s">
        <v>28</v>
      </c>
      <c r="H42" s="5521" t="s">
        <v>28</v>
      </c>
      <c r="I42" s="5521" t="s">
        <v>819</v>
      </c>
    </row>
    <row customHeight="1" ht="11.25">
      <c r="A43" s="5521" t="s">
        <v>2259</v>
      </c>
      <c r="B43" s="5521" t="s">
        <v>16</v>
      </c>
      <c r="C43" s="5521" t="s">
        <v>2419</v>
      </c>
      <c r="D43" s="5521" t="s">
        <v>2420</v>
      </c>
      <c r="E43" s="5521" t="s">
        <v>2421</v>
      </c>
      <c r="F43" s="5521" t="s">
        <v>51</v>
      </c>
      <c r="G43" s="5521" t="s">
        <v>28</v>
      </c>
      <c r="H43" s="5521" t="s">
        <v>28</v>
      </c>
      <c r="I43" s="5521" t="s">
        <v>819</v>
      </c>
    </row>
    <row customHeight="1" ht="11.25">
      <c r="A44" s="5521" t="s">
        <v>2259</v>
      </c>
      <c r="B44" s="5521" t="s">
        <v>16</v>
      </c>
      <c r="C44" s="5521" t="s">
        <v>2422</v>
      </c>
      <c r="D44" s="5521" t="s">
        <v>2423</v>
      </c>
      <c r="E44" s="5521" t="s">
        <v>2424</v>
      </c>
      <c r="F44" s="5521" t="s">
        <v>2425</v>
      </c>
      <c r="G44" s="5521" t="s">
        <v>28</v>
      </c>
      <c r="H44" s="5521" t="s">
        <v>28</v>
      </c>
      <c r="I44" s="5521" t="s">
        <v>819</v>
      </c>
    </row>
    <row customHeight="1" ht="11.25">
      <c r="A45" s="5521" t="s">
        <v>2259</v>
      </c>
      <c r="B45" s="5521" t="s">
        <v>16</v>
      </c>
      <c r="C45" s="5521" t="s">
        <v>2426</v>
      </c>
      <c r="D45" s="5521" t="s">
        <v>2427</v>
      </c>
      <c r="E45" s="5521" t="s">
        <v>2428</v>
      </c>
      <c r="F45" s="5521" t="s">
        <v>2350</v>
      </c>
      <c r="G45" s="5521" t="s">
        <v>2429</v>
      </c>
      <c r="H45" s="5521" t="s">
        <v>28</v>
      </c>
      <c r="I45" s="5521" t="s">
        <v>819</v>
      </c>
    </row>
    <row customHeight="1" ht="11.25">
      <c r="A46" s="5521" t="s">
        <v>2259</v>
      </c>
      <c r="B46" s="5521" t="s">
        <v>16</v>
      </c>
      <c r="C46" s="5521" t="s">
        <v>2430</v>
      </c>
      <c r="D46" s="5521" t="s">
        <v>2431</v>
      </c>
      <c r="E46" s="5521" t="s">
        <v>2432</v>
      </c>
      <c r="F46" s="5521" t="s">
        <v>2300</v>
      </c>
      <c r="G46" s="5521" t="s">
        <v>28</v>
      </c>
      <c r="H46" s="5521" t="s">
        <v>28</v>
      </c>
      <c r="I46" s="5521" t="s">
        <v>819</v>
      </c>
    </row>
    <row customHeight="1" ht="11.25">
      <c r="A47" s="5521" t="s">
        <v>2259</v>
      </c>
      <c r="B47" s="5521" t="s">
        <v>16</v>
      </c>
      <c r="C47" s="5521" t="s">
        <v>2433</v>
      </c>
      <c r="D47" s="5521" t="s">
        <v>2434</v>
      </c>
      <c r="E47" s="5521" t="s">
        <v>2435</v>
      </c>
      <c r="F47" s="5521" t="s">
        <v>2295</v>
      </c>
      <c r="G47" s="5521" t="s">
        <v>2436</v>
      </c>
      <c r="H47" s="5521" t="s">
        <v>28</v>
      </c>
      <c r="I47" s="5521" t="s">
        <v>819</v>
      </c>
    </row>
    <row customHeight="1" ht="11.25">
      <c r="A48" s="5521" t="s">
        <v>2259</v>
      </c>
      <c r="B48" s="5521" t="s">
        <v>16</v>
      </c>
      <c r="C48" s="5521" t="s">
        <v>2437</v>
      </c>
      <c r="D48" s="5521" t="s">
        <v>2438</v>
      </c>
      <c r="E48" s="5521" t="s">
        <v>2439</v>
      </c>
      <c r="F48" s="5521" t="s">
        <v>51</v>
      </c>
      <c r="G48" s="5521" t="s">
        <v>28</v>
      </c>
      <c r="H48" s="5521" t="s">
        <v>28</v>
      </c>
      <c r="I48" s="5521" t="s">
        <v>819</v>
      </c>
    </row>
    <row customHeight="1" ht="11.25">
      <c r="A49" s="5521" t="s">
        <v>2259</v>
      </c>
      <c r="B49" s="5521" t="s">
        <v>16</v>
      </c>
      <c r="C49" s="5521" t="s">
        <v>2440</v>
      </c>
      <c r="D49" s="5521" t="s">
        <v>2441</v>
      </c>
      <c r="E49" s="5521" t="s">
        <v>2442</v>
      </c>
      <c r="F49" s="5521" t="s">
        <v>2443</v>
      </c>
      <c r="G49" s="5521" t="s">
        <v>28</v>
      </c>
      <c r="H49" s="5521" t="s">
        <v>28</v>
      </c>
      <c r="I49" s="5521" t="s">
        <v>819</v>
      </c>
    </row>
    <row customHeight="1" ht="11.25">
      <c r="A50" s="5521" t="s">
        <v>2259</v>
      </c>
      <c r="B50" s="5521" t="s">
        <v>16</v>
      </c>
      <c r="C50" s="5521" t="s">
        <v>2444</v>
      </c>
      <c r="D50" s="5521" t="s">
        <v>2445</v>
      </c>
      <c r="E50" s="5521" t="s">
        <v>2446</v>
      </c>
      <c r="F50" s="5521" t="s">
        <v>51</v>
      </c>
      <c r="G50" s="5521" t="s">
        <v>28</v>
      </c>
      <c r="H50" s="5521" t="s">
        <v>28</v>
      </c>
      <c r="I50" s="5521" t="s">
        <v>819</v>
      </c>
    </row>
    <row customHeight="1" ht="11.25">
      <c r="A51" s="5521" t="s">
        <v>2259</v>
      </c>
      <c r="B51" s="5521" t="s">
        <v>16</v>
      </c>
      <c r="C51" s="5521" t="s">
        <v>2447</v>
      </c>
      <c r="D51" s="5521" t="s">
        <v>2448</v>
      </c>
      <c r="E51" s="5521" t="s">
        <v>2449</v>
      </c>
      <c r="F51" s="5521" t="s">
        <v>51</v>
      </c>
      <c r="G51" s="5521" t="s">
        <v>2450</v>
      </c>
      <c r="H51" s="5521" t="s">
        <v>28</v>
      </c>
      <c r="I51" s="5521" t="s">
        <v>819</v>
      </c>
    </row>
    <row customHeight="1" ht="11.25">
      <c r="A52" s="5521" t="s">
        <v>2259</v>
      </c>
      <c r="B52" s="5521" t="s">
        <v>16</v>
      </c>
      <c r="C52" s="5521" t="s">
        <v>2451</v>
      </c>
      <c r="D52" s="5521" t="s">
        <v>2452</v>
      </c>
      <c r="E52" s="5521" t="s">
        <v>2453</v>
      </c>
      <c r="F52" s="5521" t="s">
        <v>51</v>
      </c>
      <c r="G52" s="5521" t="s">
        <v>2454</v>
      </c>
      <c r="H52" s="5521" t="s">
        <v>28</v>
      </c>
      <c r="I52" s="5521" t="s">
        <v>819</v>
      </c>
    </row>
    <row customHeight="1" ht="11.25">
      <c r="A53" s="5521" t="s">
        <v>2259</v>
      </c>
      <c r="B53" s="5521" t="s">
        <v>16</v>
      </c>
      <c r="C53" s="5521" t="s">
        <v>2455</v>
      </c>
      <c r="D53" s="5521" t="s">
        <v>2456</v>
      </c>
      <c r="E53" s="5521" t="s">
        <v>2457</v>
      </c>
      <c r="F53" s="5521" t="s">
        <v>2285</v>
      </c>
      <c r="G53" s="5521" t="s">
        <v>2458</v>
      </c>
      <c r="H53" s="5521" t="s">
        <v>28</v>
      </c>
      <c r="I53" s="5521" t="s">
        <v>819</v>
      </c>
    </row>
    <row customHeight="1" ht="11.25">
      <c r="A54" s="5521" t="s">
        <v>2259</v>
      </c>
      <c r="B54" s="5521" t="s">
        <v>16</v>
      </c>
      <c r="C54" s="5521" t="s">
        <v>2459</v>
      </c>
      <c r="D54" s="5521" t="s">
        <v>2460</v>
      </c>
      <c r="E54" s="5521" t="s">
        <v>2461</v>
      </c>
      <c r="F54" s="5521" t="s">
        <v>2285</v>
      </c>
      <c r="G54" s="5521" t="s">
        <v>2462</v>
      </c>
      <c r="H54" s="5521" t="s">
        <v>28</v>
      </c>
      <c r="I54" s="5521" t="s">
        <v>819</v>
      </c>
    </row>
    <row customHeight="1" ht="11.25">
      <c r="A55" s="5521" t="s">
        <v>2259</v>
      </c>
      <c r="B55" s="5521" t="s">
        <v>16</v>
      </c>
      <c r="C55" s="5521" t="s">
        <v>2463</v>
      </c>
      <c r="D55" s="5521" t="s">
        <v>2464</v>
      </c>
      <c r="E55" s="5521" t="s">
        <v>2465</v>
      </c>
      <c r="F55" s="5521" t="s">
        <v>2466</v>
      </c>
      <c r="G55" s="5521" t="s">
        <v>2467</v>
      </c>
      <c r="H55" s="5521" t="s">
        <v>28</v>
      </c>
      <c r="I55" s="5521" t="s">
        <v>819</v>
      </c>
    </row>
    <row customHeight="1" ht="11.25">
      <c r="A56" s="5521" t="s">
        <v>2259</v>
      </c>
      <c r="B56" s="5521" t="s">
        <v>16</v>
      </c>
      <c r="C56" s="5521" t="s">
        <v>2468</v>
      </c>
      <c r="D56" s="5521" t="s">
        <v>2469</v>
      </c>
      <c r="E56" s="5521" t="s">
        <v>2442</v>
      </c>
      <c r="F56" s="5521" t="s">
        <v>2470</v>
      </c>
      <c r="G56" s="5521" t="s">
        <v>28</v>
      </c>
      <c r="H56" s="5521" t="s">
        <v>28</v>
      </c>
      <c r="I56" s="5521" t="s">
        <v>819</v>
      </c>
    </row>
    <row customHeight="1" ht="11.25">
      <c r="A57" s="5521" t="s">
        <v>2259</v>
      </c>
      <c r="B57" s="5521" t="s">
        <v>16</v>
      </c>
      <c r="C57" s="5521" t="s">
        <v>2264</v>
      </c>
      <c r="D57" s="5521" t="s">
        <v>2261</v>
      </c>
      <c r="E57" s="5521" t="s">
        <v>2262</v>
      </c>
      <c r="F57" s="5521" t="s">
        <v>2265</v>
      </c>
      <c r="G57" s="5521" t="s">
        <v>28</v>
      </c>
      <c r="H57" s="5521" t="s">
        <v>28</v>
      </c>
      <c r="I57" s="5521" t="s">
        <v>905</v>
      </c>
    </row>
    <row customHeight="1" ht="11.25">
      <c r="A58" s="5521" t="s">
        <v>2259</v>
      </c>
      <c r="B58" s="5521" t="s">
        <v>16</v>
      </c>
      <c r="C58" s="5521" t="s">
        <v>2269</v>
      </c>
      <c r="D58" s="5521" t="s">
        <v>2270</v>
      </c>
      <c r="E58" s="5521" t="s">
        <v>2271</v>
      </c>
      <c r="F58" s="5521" t="s">
        <v>2272</v>
      </c>
      <c r="G58" s="5521" t="s">
        <v>2273</v>
      </c>
      <c r="H58" s="5521" t="s">
        <v>28</v>
      </c>
      <c r="I58" s="5521" t="s">
        <v>905</v>
      </c>
    </row>
    <row customHeight="1" ht="11.25">
      <c r="A59" s="5521" t="s">
        <v>2259</v>
      </c>
      <c r="B59" s="5521" t="s">
        <v>16</v>
      </c>
      <c r="C59" s="5521" t="s">
        <v>2278</v>
      </c>
      <c r="D59" s="5521" t="s">
        <v>2279</v>
      </c>
      <c r="E59" s="5521" t="s">
        <v>2280</v>
      </c>
      <c r="F59" s="5521" t="s">
        <v>2272</v>
      </c>
      <c r="G59" s="5521" t="s">
        <v>2281</v>
      </c>
      <c r="H59" s="5521" t="s">
        <v>28</v>
      </c>
      <c r="I59" s="5521" t="s">
        <v>905</v>
      </c>
    </row>
    <row customHeight="1" ht="11.25">
      <c r="A60" s="5521" t="s">
        <v>2259</v>
      </c>
      <c r="B60" s="5521" t="s">
        <v>16</v>
      </c>
      <c r="C60" s="5521" t="s">
        <v>2282</v>
      </c>
      <c r="D60" s="5521" t="s">
        <v>2283</v>
      </c>
      <c r="E60" s="5521" t="s">
        <v>2284</v>
      </c>
      <c r="F60" s="5521" t="s">
        <v>2285</v>
      </c>
      <c r="G60" s="5521" t="s">
        <v>28</v>
      </c>
      <c r="H60" s="5521" t="s">
        <v>28</v>
      </c>
      <c r="I60" s="5521" t="s">
        <v>905</v>
      </c>
    </row>
    <row customHeight="1" ht="11.25">
      <c r="A61" s="5521" t="s">
        <v>2259</v>
      </c>
      <c r="B61" s="5521" t="s">
        <v>16</v>
      </c>
      <c r="C61" s="5521" t="s">
        <v>28</v>
      </c>
      <c r="D61" s="5521" t="s">
        <v>2290</v>
      </c>
      <c r="E61" s="5521" t="s">
        <v>2291</v>
      </c>
      <c r="F61" s="5521" t="s">
        <v>51</v>
      </c>
      <c r="G61" s="5521" t="s">
        <v>28</v>
      </c>
      <c r="H61" s="5521" t="s">
        <v>28</v>
      </c>
      <c r="I61" s="5521" t="s">
        <v>905</v>
      </c>
    </row>
    <row customHeight="1" ht="11.25">
      <c r="A62" s="5521" t="s">
        <v>2259</v>
      </c>
      <c r="B62" s="5521" t="s">
        <v>16</v>
      </c>
      <c r="C62" s="5521" t="s">
        <v>2292</v>
      </c>
      <c r="D62" s="5521" t="s">
        <v>2293</v>
      </c>
      <c r="E62" s="5521" t="s">
        <v>2294</v>
      </c>
      <c r="F62" s="5521" t="s">
        <v>2295</v>
      </c>
      <c r="G62" s="5521" t="s">
        <v>2296</v>
      </c>
      <c r="H62" s="5521" t="s">
        <v>28</v>
      </c>
      <c r="I62" s="5521" t="s">
        <v>905</v>
      </c>
    </row>
    <row customHeight="1" ht="11.25">
      <c r="A63" s="5521" t="s">
        <v>2259</v>
      </c>
      <c r="B63" s="5521" t="s">
        <v>16</v>
      </c>
      <c r="C63" s="5521" t="s">
        <v>2306</v>
      </c>
      <c r="D63" s="5521" t="s">
        <v>2307</v>
      </c>
      <c r="E63" s="5521" t="s">
        <v>2308</v>
      </c>
      <c r="F63" s="5521" t="s">
        <v>51</v>
      </c>
      <c r="G63" s="5521" t="s">
        <v>2309</v>
      </c>
      <c r="H63" s="5521" t="s">
        <v>28</v>
      </c>
      <c r="I63" s="5521" t="s">
        <v>905</v>
      </c>
    </row>
    <row customHeight="1" ht="11.25">
      <c r="A64" s="5521" t="s">
        <v>2259</v>
      </c>
      <c r="B64" s="5521" t="s">
        <v>16</v>
      </c>
      <c r="C64" s="5521" t="s">
        <v>2324</v>
      </c>
      <c r="D64" s="5521" t="s">
        <v>2325</v>
      </c>
      <c r="E64" s="5521" t="s">
        <v>2326</v>
      </c>
      <c r="F64" s="5521" t="s">
        <v>51</v>
      </c>
      <c r="G64" s="5521" t="s">
        <v>2327</v>
      </c>
      <c r="H64" s="5521" t="s">
        <v>28</v>
      </c>
      <c r="I64" s="5521" t="s">
        <v>905</v>
      </c>
    </row>
    <row customHeight="1" ht="11.25">
      <c r="A65" s="5521" t="s">
        <v>2259</v>
      </c>
      <c r="B65" s="5521" t="s">
        <v>16</v>
      </c>
      <c r="C65" s="5521" t="s">
        <v>2335</v>
      </c>
      <c r="D65" s="5521" t="s">
        <v>2336</v>
      </c>
      <c r="E65" s="5521" t="s">
        <v>2337</v>
      </c>
      <c r="F65" s="5521" t="s">
        <v>2338</v>
      </c>
      <c r="G65" s="5521" t="s">
        <v>2339</v>
      </c>
      <c r="H65" s="5521" t="s">
        <v>28</v>
      </c>
      <c r="I65" s="5521" t="s">
        <v>905</v>
      </c>
    </row>
    <row customHeight="1" ht="11.25">
      <c r="A66" s="5521" t="s">
        <v>2259</v>
      </c>
      <c r="B66" s="5521" t="s">
        <v>16</v>
      </c>
      <c r="C66" s="5521" t="s">
        <v>2340</v>
      </c>
      <c r="D66" s="5521" t="s">
        <v>2341</v>
      </c>
      <c r="E66" s="5521" t="s">
        <v>2342</v>
      </c>
      <c r="F66" s="5521" t="s">
        <v>51</v>
      </c>
      <c r="G66" s="5521" t="s">
        <v>2343</v>
      </c>
      <c r="H66" s="5521" t="s">
        <v>28</v>
      </c>
      <c r="I66" s="5521" t="s">
        <v>905</v>
      </c>
    </row>
    <row customHeight="1" ht="11.25">
      <c r="A67" s="5521" t="s">
        <v>2259</v>
      </c>
      <c r="B67" s="5521" t="s">
        <v>16</v>
      </c>
      <c r="C67" s="5521" t="s">
        <v>2368</v>
      </c>
      <c r="D67" s="5521" t="s">
        <v>2369</v>
      </c>
      <c r="E67" s="5521" t="s">
        <v>2370</v>
      </c>
      <c r="F67" s="5521" t="s">
        <v>51</v>
      </c>
      <c r="G67" s="5521" t="s">
        <v>2371</v>
      </c>
      <c r="H67" s="5521" t="s">
        <v>28</v>
      </c>
      <c r="I67" s="5521" t="s">
        <v>905</v>
      </c>
    </row>
    <row customHeight="1" ht="11.25">
      <c r="A68" s="5521" t="s">
        <v>2259</v>
      </c>
      <c r="B68" s="5521" t="s">
        <v>16</v>
      </c>
      <c r="C68" s="5521" t="s">
        <v>2372</v>
      </c>
      <c r="D68" s="5521" t="s">
        <v>2373</v>
      </c>
      <c r="E68" s="5521" t="s">
        <v>2374</v>
      </c>
      <c r="F68" s="5521" t="s">
        <v>51</v>
      </c>
      <c r="G68" s="5521" t="s">
        <v>2375</v>
      </c>
      <c r="H68" s="5521" t="s">
        <v>28</v>
      </c>
      <c r="I68" s="5521" t="s">
        <v>905</v>
      </c>
    </row>
    <row customHeight="1" ht="11.25">
      <c r="A69" s="5521" t="s">
        <v>2259</v>
      </c>
      <c r="B69" s="5521" t="s">
        <v>16</v>
      </c>
      <c r="C69" s="5521" t="s">
        <v>2376</v>
      </c>
      <c r="D69" s="5521" t="s">
        <v>2377</v>
      </c>
      <c r="E69" s="5521" t="s">
        <v>2378</v>
      </c>
      <c r="F69" s="5521" t="s">
        <v>2350</v>
      </c>
      <c r="G69" s="5521" t="s">
        <v>28</v>
      </c>
      <c r="H69" s="5521" t="s">
        <v>28</v>
      </c>
      <c r="I69" s="5521" t="s">
        <v>905</v>
      </c>
    </row>
    <row customHeight="1" ht="11.25">
      <c r="A70" s="5521" t="s">
        <v>2259</v>
      </c>
      <c r="B70" s="5521" t="s">
        <v>16</v>
      </c>
      <c r="C70" s="5521" t="s">
        <v>2379</v>
      </c>
      <c r="D70" s="5521" t="s">
        <v>2380</v>
      </c>
      <c r="E70" s="5521" t="s">
        <v>2381</v>
      </c>
      <c r="F70" s="5521" t="s">
        <v>2285</v>
      </c>
      <c r="G70" s="5521" t="s">
        <v>28</v>
      </c>
      <c r="H70" s="5521" t="s">
        <v>28</v>
      </c>
      <c r="I70" s="5521" t="s">
        <v>905</v>
      </c>
    </row>
    <row customHeight="1" ht="11.25">
      <c r="A71" s="5521" t="s">
        <v>2259</v>
      </c>
      <c r="B71" s="5521" t="s">
        <v>16</v>
      </c>
      <c r="C71" s="5521" t="s">
        <v>2382</v>
      </c>
      <c r="D71" s="5521" t="s">
        <v>2383</v>
      </c>
      <c r="E71" s="5521" t="s">
        <v>2384</v>
      </c>
      <c r="F71" s="5521" t="s">
        <v>2285</v>
      </c>
      <c r="G71" s="5521" t="s">
        <v>28</v>
      </c>
      <c r="H71" s="5521" t="s">
        <v>28</v>
      </c>
      <c r="I71" s="5521" t="s">
        <v>905</v>
      </c>
    </row>
    <row customHeight="1" ht="11.25">
      <c r="A72" s="5521" t="s">
        <v>2259</v>
      </c>
      <c r="B72" s="5521" t="s">
        <v>16</v>
      </c>
      <c r="C72" s="5521" t="s">
        <v>2393</v>
      </c>
      <c r="D72" s="5521" t="s">
        <v>2394</v>
      </c>
      <c r="E72" s="5521" t="s">
        <v>2395</v>
      </c>
      <c r="F72" s="5521" t="s">
        <v>2396</v>
      </c>
      <c r="G72" s="5521" t="s">
        <v>2397</v>
      </c>
      <c r="H72" s="5521" t="s">
        <v>28</v>
      </c>
      <c r="I72" s="5521" t="s">
        <v>905</v>
      </c>
    </row>
    <row customHeight="1" ht="11.25">
      <c r="A73" s="5521" t="s">
        <v>2259</v>
      </c>
      <c r="B73" s="5521" t="s">
        <v>16</v>
      </c>
      <c r="C73" s="5521" t="s">
        <v>2398</v>
      </c>
      <c r="D73" s="5521" t="s">
        <v>2399</v>
      </c>
      <c r="E73" s="5521" t="s">
        <v>2400</v>
      </c>
      <c r="F73" s="5521" t="s">
        <v>51</v>
      </c>
      <c r="G73" s="5521" t="s">
        <v>28</v>
      </c>
      <c r="H73" s="5521" t="s">
        <v>28</v>
      </c>
      <c r="I73" s="5521" t="s">
        <v>905</v>
      </c>
    </row>
    <row customHeight="1" ht="11.25">
      <c r="A74" s="5521" t="s">
        <v>2259</v>
      </c>
      <c r="B74" s="5521" t="s">
        <v>16</v>
      </c>
      <c r="C74" s="5521" t="s">
        <v>2405</v>
      </c>
      <c r="D74" s="5521" t="s">
        <v>2406</v>
      </c>
      <c r="E74" s="5521" t="s">
        <v>2407</v>
      </c>
      <c r="F74" s="5521" t="s">
        <v>2285</v>
      </c>
      <c r="G74" s="5521" t="s">
        <v>28</v>
      </c>
      <c r="H74" s="5521" t="s">
        <v>28</v>
      </c>
      <c r="I74" s="5521" t="s">
        <v>905</v>
      </c>
    </row>
    <row customHeight="1" ht="11.25">
      <c r="A75" s="5521" t="s">
        <v>2259</v>
      </c>
      <c r="B75" s="5521" t="s">
        <v>16</v>
      </c>
      <c r="C75" s="5521" t="s">
        <v>2422</v>
      </c>
      <c r="D75" s="5521" t="s">
        <v>2423</v>
      </c>
      <c r="E75" s="5521" t="s">
        <v>2424</v>
      </c>
      <c r="F75" s="5521" t="s">
        <v>2425</v>
      </c>
      <c r="G75" s="5521" t="s">
        <v>28</v>
      </c>
      <c r="H75" s="5521" t="s">
        <v>28</v>
      </c>
      <c r="I75" s="5521" t="s">
        <v>905</v>
      </c>
    </row>
    <row customHeight="1" ht="11.25">
      <c r="A76" s="5521" t="s">
        <v>2259</v>
      </c>
      <c r="B76" s="5521" t="s">
        <v>16</v>
      </c>
      <c r="C76" s="5521" t="s">
        <v>2471</v>
      </c>
      <c r="D76" s="5521" t="s">
        <v>2472</v>
      </c>
      <c r="E76" s="5521" t="s">
        <v>2424</v>
      </c>
      <c r="F76" s="5521" t="s">
        <v>2473</v>
      </c>
      <c r="G76" s="5521" t="s">
        <v>2474</v>
      </c>
      <c r="H76" s="5521" t="s">
        <v>28</v>
      </c>
      <c r="I76" s="5521" t="s">
        <v>905</v>
      </c>
    </row>
    <row customHeight="1" ht="11.25">
      <c r="A77" s="5521" t="s">
        <v>2259</v>
      </c>
      <c r="B77" s="5521" t="s">
        <v>16</v>
      </c>
      <c r="C77" s="5521" t="s">
        <v>2433</v>
      </c>
      <c r="D77" s="5521" t="s">
        <v>2434</v>
      </c>
      <c r="E77" s="5521" t="s">
        <v>2435</v>
      </c>
      <c r="F77" s="5521" t="s">
        <v>2295</v>
      </c>
      <c r="G77" s="5521" t="s">
        <v>2436</v>
      </c>
      <c r="H77" s="5521" t="s">
        <v>28</v>
      </c>
      <c r="I77" s="5521" t="s">
        <v>905</v>
      </c>
    </row>
    <row customHeight="1" ht="11.25">
      <c r="A78" s="5521" t="s">
        <v>2259</v>
      </c>
      <c r="B78" s="5521" t="s">
        <v>16</v>
      </c>
      <c r="C78" s="5521" t="s">
        <v>2440</v>
      </c>
      <c r="D78" s="5521" t="s">
        <v>2441</v>
      </c>
      <c r="E78" s="5521" t="s">
        <v>2442</v>
      </c>
      <c r="F78" s="5521" t="s">
        <v>2443</v>
      </c>
      <c r="G78" s="5521" t="s">
        <v>28</v>
      </c>
      <c r="H78" s="5521" t="s">
        <v>28</v>
      </c>
      <c r="I78" s="5521" t="s">
        <v>905</v>
      </c>
    </row>
    <row customHeight="1" ht="11.25">
      <c r="A79" s="5521" t="s">
        <v>2259</v>
      </c>
      <c r="B79" s="5521" t="s">
        <v>16</v>
      </c>
      <c r="C79" s="5521" t="s">
        <v>2451</v>
      </c>
      <c r="D79" s="5521" t="s">
        <v>2452</v>
      </c>
      <c r="E79" s="5521" t="s">
        <v>2453</v>
      </c>
      <c r="F79" s="5521" t="s">
        <v>51</v>
      </c>
      <c r="G79" s="5521" t="s">
        <v>2454</v>
      </c>
      <c r="H79" s="5521" t="s">
        <v>28</v>
      </c>
      <c r="I79" s="5521" t="s">
        <v>905</v>
      </c>
    </row>
    <row customHeight="1" ht="11.25">
      <c r="A80" s="5521" t="s">
        <v>2259</v>
      </c>
      <c r="B80" s="5521" t="s">
        <v>16</v>
      </c>
      <c r="C80" s="5521" t="s">
        <v>2455</v>
      </c>
      <c r="D80" s="5521" t="s">
        <v>2456</v>
      </c>
      <c r="E80" s="5521" t="s">
        <v>2457</v>
      </c>
      <c r="F80" s="5521" t="s">
        <v>2285</v>
      </c>
      <c r="G80" s="5521" t="s">
        <v>2458</v>
      </c>
      <c r="H80" s="5521" t="s">
        <v>28</v>
      </c>
      <c r="I80" s="5521" t="s">
        <v>905</v>
      </c>
    </row>
    <row customHeight="1" ht="11.25">
      <c r="A81" s="5521" t="s">
        <v>2259</v>
      </c>
      <c r="B81" s="5521" t="s">
        <v>16</v>
      </c>
      <c r="C81" s="5521" t="s">
        <v>2459</v>
      </c>
      <c r="D81" s="5521" t="s">
        <v>2460</v>
      </c>
      <c r="E81" s="5521" t="s">
        <v>2461</v>
      </c>
      <c r="F81" s="5521" t="s">
        <v>2285</v>
      </c>
      <c r="G81" s="5521" t="s">
        <v>2462</v>
      </c>
      <c r="H81" s="5521" t="s">
        <v>28</v>
      </c>
      <c r="I81" s="5521" t="s">
        <v>905</v>
      </c>
    </row>
    <row customHeight="1" ht="11.25">
      <c r="A82" s="5521" t="s">
        <v>2259</v>
      </c>
      <c r="B82" s="5521" t="s">
        <v>16</v>
      </c>
      <c r="C82" s="5521" t="s">
        <v>2468</v>
      </c>
      <c r="D82" s="5521" t="s">
        <v>2469</v>
      </c>
      <c r="E82" s="5521" t="s">
        <v>2442</v>
      </c>
      <c r="F82" s="5521" t="s">
        <v>2470</v>
      </c>
      <c r="G82" s="5521" t="s">
        <v>28</v>
      </c>
      <c r="H82" s="5521" t="s">
        <v>28</v>
      </c>
      <c r="I82" s="5521" t="s">
        <v>905</v>
      </c>
    </row>
    <row customHeight="1" ht="11.25">
      <c r="A83" s="5521" t="s">
        <v>2259</v>
      </c>
      <c r="B83" s="5521" t="s">
        <v>16</v>
      </c>
      <c r="C83" s="5521" t="s">
        <v>2475</v>
      </c>
      <c r="D83" s="5521" t="s">
        <v>2476</v>
      </c>
      <c r="E83" s="5521" t="s">
        <v>2477</v>
      </c>
      <c r="F83" s="5521" t="s">
        <v>2338</v>
      </c>
      <c r="G83" s="5521" t="s">
        <v>2478</v>
      </c>
      <c r="H83" s="5521" t="s">
        <v>28</v>
      </c>
      <c r="I83" s="5521" t="s">
        <v>865</v>
      </c>
    </row>
    <row customHeight="1" ht="11.25">
      <c r="A84" s="5521" t="s">
        <v>2259</v>
      </c>
      <c r="B84" s="5521" t="s">
        <v>16</v>
      </c>
      <c r="C84" s="5521" t="s">
        <v>2264</v>
      </c>
      <c r="D84" s="5521" t="s">
        <v>2261</v>
      </c>
      <c r="E84" s="5521" t="s">
        <v>2262</v>
      </c>
      <c r="F84" s="5521" t="s">
        <v>2265</v>
      </c>
      <c r="G84" s="5521" t="s">
        <v>28</v>
      </c>
      <c r="H84" s="5521" t="s">
        <v>28</v>
      </c>
      <c r="I84" s="5521" t="s">
        <v>865</v>
      </c>
    </row>
    <row customHeight="1" ht="11.25">
      <c r="A85" s="5521" t="s">
        <v>2259</v>
      </c>
      <c r="B85" s="5521" t="s">
        <v>16</v>
      </c>
      <c r="C85" s="5521" t="s">
        <v>2479</v>
      </c>
      <c r="D85" s="5521" t="s">
        <v>2480</v>
      </c>
      <c r="E85" s="5521" t="s">
        <v>2481</v>
      </c>
      <c r="F85" s="5521" t="s">
        <v>2482</v>
      </c>
      <c r="G85" s="5521" t="s">
        <v>28</v>
      </c>
      <c r="H85" s="5521" t="s">
        <v>28</v>
      </c>
      <c r="I85" s="5521" t="s">
        <v>865</v>
      </c>
    </row>
    <row customHeight="1" ht="11.25">
      <c r="A86" s="5521" t="s">
        <v>2259</v>
      </c>
      <c r="B86" s="5521" t="s">
        <v>16</v>
      </c>
      <c r="C86" s="5521" t="s">
        <v>2274</v>
      </c>
      <c r="D86" s="5521" t="s">
        <v>2275</v>
      </c>
      <c r="E86" s="5521" t="s">
        <v>2276</v>
      </c>
      <c r="F86" s="5521" t="s">
        <v>2277</v>
      </c>
      <c r="G86" s="5521" t="s">
        <v>28</v>
      </c>
      <c r="H86" s="5521" t="s">
        <v>28</v>
      </c>
      <c r="I86" s="5521" t="s">
        <v>865</v>
      </c>
    </row>
    <row customHeight="1" ht="11.25">
      <c r="A87" s="5521" t="s">
        <v>2259</v>
      </c>
      <c r="B87" s="5521" t="s">
        <v>16</v>
      </c>
      <c r="C87" s="5521" t="s">
        <v>2483</v>
      </c>
      <c r="D87" s="5521" t="s">
        <v>2484</v>
      </c>
      <c r="E87" s="5521" t="s">
        <v>2485</v>
      </c>
      <c r="F87" s="5521" t="s">
        <v>2362</v>
      </c>
      <c r="G87" s="5521" t="s">
        <v>2486</v>
      </c>
      <c r="H87" s="5521" t="s">
        <v>28</v>
      </c>
      <c r="I87" s="5521" t="s">
        <v>865</v>
      </c>
    </row>
    <row customHeight="1" ht="11.25">
      <c r="A88" s="5521" t="s">
        <v>2259</v>
      </c>
      <c r="B88" s="5521" t="s">
        <v>16</v>
      </c>
      <c r="C88" s="5521" t="s">
        <v>2278</v>
      </c>
      <c r="D88" s="5521" t="s">
        <v>2279</v>
      </c>
      <c r="E88" s="5521" t="s">
        <v>2280</v>
      </c>
      <c r="F88" s="5521" t="s">
        <v>2272</v>
      </c>
      <c r="G88" s="5521" t="s">
        <v>2281</v>
      </c>
      <c r="H88" s="5521" t="s">
        <v>28</v>
      </c>
      <c r="I88" s="5521" t="s">
        <v>865</v>
      </c>
    </row>
    <row customHeight="1" ht="11.25">
      <c r="A89" s="5521" t="s">
        <v>2259</v>
      </c>
      <c r="B89" s="5521" t="s">
        <v>16</v>
      </c>
      <c r="C89" s="5521" t="s">
        <v>2487</v>
      </c>
      <c r="D89" s="5521" t="s">
        <v>2488</v>
      </c>
      <c r="E89" s="5521" t="s">
        <v>2489</v>
      </c>
      <c r="F89" s="5521" t="s">
        <v>2482</v>
      </c>
      <c r="G89" s="5521" t="s">
        <v>2490</v>
      </c>
      <c r="H89" s="5521" t="s">
        <v>28</v>
      </c>
      <c r="I89" s="5521" t="s">
        <v>865</v>
      </c>
    </row>
    <row customHeight="1" ht="11.25">
      <c r="A90" s="5521" t="s">
        <v>2259</v>
      </c>
      <c r="B90" s="5521" t="s">
        <v>16</v>
      </c>
      <c r="C90" s="5521" t="s">
        <v>2282</v>
      </c>
      <c r="D90" s="5521" t="s">
        <v>2283</v>
      </c>
      <c r="E90" s="5521" t="s">
        <v>2284</v>
      </c>
      <c r="F90" s="5521" t="s">
        <v>2285</v>
      </c>
      <c r="G90" s="5521" t="s">
        <v>28</v>
      </c>
      <c r="H90" s="5521" t="s">
        <v>28</v>
      </c>
      <c r="I90" s="5521" t="s">
        <v>865</v>
      </c>
    </row>
    <row customHeight="1" ht="11.25">
      <c r="A91" s="5521" t="s">
        <v>2259</v>
      </c>
      <c r="B91" s="5521" t="s">
        <v>16</v>
      </c>
      <c r="C91" s="5521" t="s">
        <v>2491</v>
      </c>
      <c r="D91" s="5521" t="s">
        <v>2492</v>
      </c>
      <c r="E91" s="5521" t="s">
        <v>2493</v>
      </c>
      <c r="F91" s="5521" t="s">
        <v>2366</v>
      </c>
      <c r="G91" s="5521" t="s">
        <v>2494</v>
      </c>
      <c r="H91" s="5521" t="s">
        <v>28</v>
      </c>
      <c r="I91" s="5521" t="s">
        <v>865</v>
      </c>
    </row>
    <row customHeight="1" ht="11.25">
      <c r="A92" s="5521" t="s">
        <v>2259</v>
      </c>
      <c r="B92" s="5521" t="s">
        <v>16</v>
      </c>
      <c r="C92" s="5521" t="s">
        <v>2495</v>
      </c>
      <c r="D92" s="5521" t="s">
        <v>2496</v>
      </c>
      <c r="E92" s="5521" t="s">
        <v>2497</v>
      </c>
      <c r="F92" s="5521" t="s">
        <v>2300</v>
      </c>
      <c r="G92" s="5521" t="s">
        <v>28</v>
      </c>
      <c r="H92" s="5521" t="s">
        <v>28</v>
      </c>
      <c r="I92" s="5521" t="s">
        <v>865</v>
      </c>
    </row>
    <row customHeight="1" ht="11.25">
      <c r="A93" s="5521" t="s">
        <v>2259</v>
      </c>
      <c r="B93" s="5521" t="s">
        <v>16</v>
      </c>
      <c r="C93" s="5521" t="s">
        <v>2498</v>
      </c>
      <c r="D93" s="5521" t="s">
        <v>2499</v>
      </c>
      <c r="E93" s="5521" t="s">
        <v>2500</v>
      </c>
      <c r="F93" s="5521" t="s">
        <v>2501</v>
      </c>
      <c r="G93" s="5521" t="s">
        <v>2502</v>
      </c>
      <c r="H93" s="5521" t="s">
        <v>28</v>
      </c>
      <c r="I93" s="5521" t="s">
        <v>865</v>
      </c>
    </row>
    <row customHeight="1" ht="11.25">
      <c r="A94" s="5521" t="s">
        <v>2259</v>
      </c>
      <c r="B94" s="5521" t="s">
        <v>16</v>
      </c>
      <c r="C94" s="5521" t="s">
        <v>2286</v>
      </c>
      <c r="D94" s="5521" t="s">
        <v>2287</v>
      </c>
      <c r="E94" s="5521" t="s">
        <v>2288</v>
      </c>
      <c r="F94" s="5521" t="s">
        <v>2272</v>
      </c>
      <c r="G94" s="5521" t="s">
        <v>2289</v>
      </c>
      <c r="H94" s="5521" t="s">
        <v>28</v>
      </c>
      <c r="I94" s="5521" t="s">
        <v>865</v>
      </c>
    </row>
    <row customHeight="1" ht="11.25">
      <c r="A95" s="5521" t="s">
        <v>2259</v>
      </c>
      <c r="B95" s="5521" t="s">
        <v>16</v>
      </c>
      <c r="C95" s="5521" t="s">
        <v>28</v>
      </c>
      <c r="D95" s="5521" t="s">
        <v>2290</v>
      </c>
      <c r="E95" s="5521" t="s">
        <v>2291</v>
      </c>
      <c r="F95" s="5521" t="s">
        <v>51</v>
      </c>
      <c r="G95" s="5521" t="s">
        <v>28</v>
      </c>
      <c r="H95" s="5521" t="s">
        <v>28</v>
      </c>
      <c r="I95" s="5521" t="s">
        <v>865</v>
      </c>
    </row>
    <row customHeight="1" ht="11.25">
      <c r="A96" s="5521" t="s">
        <v>2259</v>
      </c>
      <c r="B96" s="5521" t="s">
        <v>16</v>
      </c>
      <c r="C96" s="5521" t="s">
        <v>2301</v>
      </c>
      <c r="D96" s="5521" t="s">
        <v>2302</v>
      </c>
      <c r="E96" s="5521" t="s">
        <v>2303</v>
      </c>
      <c r="F96" s="5521" t="s">
        <v>2304</v>
      </c>
      <c r="G96" s="5521" t="s">
        <v>2305</v>
      </c>
      <c r="H96" s="5521" t="s">
        <v>28</v>
      </c>
      <c r="I96" s="5521" t="s">
        <v>865</v>
      </c>
    </row>
    <row customHeight="1" ht="11.25">
      <c r="A97" s="5521" t="s">
        <v>2259</v>
      </c>
      <c r="B97" s="5521" t="s">
        <v>16</v>
      </c>
      <c r="C97" s="5521" t="s">
        <v>2503</v>
      </c>
      <c r="D97" s="5521" t="s">
        <v>2504</v>
      </c>
      <c r="E97" s="5521" t="s">
        <v>2505</v>
      </c>
      <c r="F97" s="5521" t="s">
        <v>2506</v>
      </c>
      <c r="G97" s="5521" t="s">
        <v>2507</v>
      </c>
      <c r="H97" s="5521" t="s">
        <v>28</v>
      </c>
      <c r="I97" s="5521" t="s">
        <v>865</v>
      </c>
    </row>
    <row customHeight="1" ht="11.25">
      <c r="A98" s="5521" t="s">
        <v>2259</v>
      </c>
      <c r="B98" s="5521" t="s">
        <v>16</v>
      </c>
      <c r="C98" s="5521" t="s">
        <v>2508</v>
      </c>
      <c r="D98" s="5521" t="s">
        <v>2509</v>
      </c>
      <c r="E98" s="5521" t="s">
        <v>2510</v>
      </c>
      <c r="F98" s="5521" t="s">
        <v>2396</v>
      </c>
      <c r="G98" s="5521" t="s">
        <v>2511</v>
      </c>
      <c r="H98" s="5521" t="s">
        <v>28</v>
      </c>
      <c r="I98" s="5521" t="s">
        <v>865</v>
      </c>
    </row>
    <row customHeight="1" ht="11.25">
      <c r="A99" s="5521" t="s">
        <v>2259</v>
      </c>
      <c r="B99" s="5521" t="s">
        <v>16</v>
      </c>
      <c r="C99" s="5521" t="s">
        <v>2512</v>
      </c>
      <c r="D99" s="5521" t="s">
        <v>46</v>
      </c>
      <c r="E99" s="5521" t="s">
        <v>2513</v>
      </c>
      <c r="F99" s="5521" t="s">
        <v>2295</v>
      </c>
      <c r="G99" s="5521" t="s">
        <v>2514</v>
      </c>
      <c r="H99" s="5521" t="s">
        <v>28</v>
      </c>
      <c r="I99" s="5521" t="s">
        <v>865</v>
      </c>
    </row>
    <row customHeight="1" ht="11.25">
      <c r="A100" s="5521" t="s">
        <v>2259</v>
      </c>
      <c r="B100" s="5521" t="s">
        <v>16</v>
      </c>
      <c r="C100" s="5521" t="s">
        <v>2515</v>
      </c>
      <c r="D100" s="5521" t="s">
        <v>46</v>
      </c>
      <c r="E100" s="5521" t="s">
        <v>2516</v>
      </c>
      <c r="F100" s="5521" t="s">
        <v>2362</v>
      </c>
      <c r="G100" s="5521" t="s">
        <v>2486</v>
      </c>
      <c r="H100" s="5521" t="s">
        <v>28</v>
      </c>
      <c r="I100" s="5521" t="s">
        <v>865</v>
      </c>
    </row>
    <row customHeight="1" ht="11.25">
      <c r="A101" s="5521" t="s">
        <v>2259</v>
      </c>
      <c r="B101" s="5521" t="s">
        <v>16</v>
      </c>
      <c r="C101" s="5521" t="s">
        <v>13</v>
      </c>
      <c r="D101" s="5521" t="s">
        <v>46</v>
      </c>
      <c r="E101" s="5521" t="s">
        <v>49</v>
      </c>
      <c r="F101" s="5521" t="s">
        <v>51</v>
      </c>
      <c r="G101" s="5521" t="s">
        <v>2517</v>
      </c>
      <c r="H101" s="5521" t="s">
        <v>28</v>
      </c>
      <c r="I101" s="5521" t="s">
        <v>865</v>
      </c>
    </row>
    <row customHeight="1" ht="11.25">
      <c r="A102" s="5521" t="s">
        <v>2259</v>
      </c>
      <c r="B102" s="5521" t="s">
        <v>16</v>
      </c>
      <c r="C102" s="5521" t="s">
        <v>2518</v>
      </c>
      <c r="D102" s="5521" t="s">
        <v>46</v>
      </c>
      <c r="E102" s="5521" t="s">
        <v>2519</v>
      </c>
      <c r="F102" s="5521" t="s">
        <v>2313</v>
      </c>
      <c r="G102" s="5521" t="s">
        <v>28</v>
      </c>
      <c r="H102" s="5521" t="s">
        <v>28</v>
      </c>
      <c r="I102" s="5521" t="s">
        <v>865</v>
      </c>
    </row>
    <row customHeight="1" ht="11.25">
      <c r="A103" s="5521" t="s">
        <v>2259</v>
      </c>
      <c r="B103" s="5521" t="s">
        <v>16</v>
      </c>
      <c r="C103" s="5521" t="s">
        <v>2520</v>
      </c>
      <c r="D103" s="5521" t="s">
        <v>2521</v>
      </c>
      <c r="E103" s="5521" t="s">
        <v>2522</v>
      </c>
      <c r="F103" s="5521" t="s">
        <v>2323</v>
      </c>
      <c r="G103" s="5521" t="s">
        <v>28</v>
      </c>
      <c r="H103" s="5521" t="s">
        <v>28</v>
      </c>
      <c r="I103" s="5521" t="s">
        <v>865</v>
      </c>
    </row>
    <row customHeight="1" ht="11.25">
      <c r="A104" s="5521" t="s">
        <v>2259</v>
      </c>
      <c r="B104" s="5521" t="s">
        <v>16</v>
      </c>
      <c r="C104" s="5521" t="s">
        <v>2523</v>
      </c>
      <c r="D104" s="5521" t="s">
        <v>2524</v>
      </c>
      <c r="E104" s="5521" t="s">
        <v>2525</v>
      </c>
      <c r="F104" s="5521" t="s">
        <v>2366</v>
      </c>
      <c r="G104" s="5521" t="s">
        <v>28</v>
      </c>
      <c r="H104" s="5521" t="s">
        <v>28</v>
      </c>
      <c r="I104" s="5521" t="s">
        <v>865</v>
      </c>
    </row>
    <row customHeight="1" ht="11.25">
      <c r="A105" s="5521" t="s">
        <v>2259</v>
      </c>
      <c r="B105" s="5521" t="s">
        <v>16</v>
      </c>
      <c r="C105" s="5521" t="s">
        <v>2526</v>
      </c>
      <c r="D105" s="5521" t="s">
        <v>2527</v>
      </c>
      <c r="E105" s="5521" t="s">
        <v>2528</v>
      </c>
      <c r="F105" s="5521" t="s">
        <v>2506</v>
      </c>
      <c r="G105" s="5521" t="s">
        <v>2529</v>
      </c>
      <c r="H105" s="5521" t="s">
        <v>28</v>
      </c>
      <c r="I105" s="5521" t="s">
        <v>865</v>
      </c>
    </row>
    <row customHeight="1" ht="11.25">
      <c r="A106" s="5521" t="s">
        <v>2259</v>
      </c>
      <c r="B106" s="5521" t="s">
        <v>16</v>
      </c>
      <c r="C106" s="5521" t="s">
        <v>2310</v>
      </c>
      <c r="D106" s="5521" t="s">
        <v>2311</v>
      </c>
      <c r="E106" s="5521" t="s">
        <v>2312</v>
      </c>
      <c r="F106" s="5521" t="s">
        <v>2313</v>
      </c>
      <c r="G106" s="5521" t="s">
        <v>2314</v>
      </c>
      <c r="H106" s="5521" t="s">
        <v>28</v>
      </c>
      <c r="I106" s="5521" t="s">
        <v>865</v>
      </c>
    </row>
    <row customHeight="1" ht="11.25">
      <c r="A107" s="5521" t="s">
        <v>2259</v>
      </c>
      <c r="B107" s="5521" t="s">
        <v>16</v>
      </c>
      <c r="C107" s="5521" t="s">
        <v>2530</v>
      </c>
      <c r="D107" s="5521" t="s">
        <v>2531</v>
      </c>
      <c r="E107" s="5521" t="s">
        <v>2532</v>
      </c>
      <c r="F107" s="5521" t="s">
        <v>2295</v>
      </c>
      <c r="G107" s="5521" t="s">
        <v>2533</v>
      </c>
      <c r="H107" s="5521" t="s">
        <v>28</v>
      </c>
      <c r="I107" s="5521" t="s">
        <v>865</v>
      </c>
    </row>
    <row customHeight="1" ht="11.25">
      <c r="A108" s="5521" t="s">
        <v>2259</v>
      </c>
      <c r="B108" s="5521" t="s">
        <v>16</v>
      </c>
      <c r="C108" s="5521" t="s">
        <v>2534</v>
      </c>
      <c r="D108" s="5521" t="s">
        <v>2535</v>
      </c>
      <c r="E108" s="5521" t="s">
        <v>2536</v>
      </c>
      <c r="F108" s="5521" t="s">
        <v>2388</v>
      </c>
      <c r="G108" s="5521" t="s">
        <v>2537</v>
      </c>
      <c r="H108" s="5521" t="s">
        <v>28</v>
      </c>
      <c r="I108" s="5521" t="s">
        <v>865</v>
      </c>
    </row>
    <row customHeight="1" ht="11.25">
      <c r="A109" s="5521" t="s">
        <v>2259</v>
      </c>
      <c r="B109" s="5521" t="s">
        <v>16</v>
      </c>
      <c r="C109" s="5521" t="s">
        <v>2538</v>
      </c>
      <c r="D109" s="5521" t="s">
        <v>2539</v>
      </c>
      <c r="E109" s="5521" t="s">
        <v>2540</v>
      </c>
      <c r="F109" s="5521" t="s">
        <v>2501</v>
      </c>
      <c r="G109" s="5521" t="s">
        <v>2541</v>
      </c>
      <c r="H109" s="5521" t="s">
        <v>28</v>
      </c>
      <c r="I109" s="5521" t="s">
        <v>865</v>
      </c>
    </row>
    <row customHeight="1" ht="11.25">
      <c r="A110" s="5521" t="s">
        <v>2259</v>
      </c>
      <c r="B110" s="5521" t="s">
        <v>16</v>
      </c>
      <c r="C110" s="5521" t="s">
        <v>2320</v>
      </c>
      <c r="D110" s="5521" t="s">
        <v>2321</v>
      </c>
      <c r="E110" s="5521" t="s">
        <v>2322</v>
      </c>
      <c r="F110" s="5521" t="s">
        <v>2323</v>
      </c>
      <c r="G110" s="5521" t="s">
        <v>28</v>
      </c>
      <c r="H110" s="5521" t="s">
        <v>28</v>
      </c>
      <c r="I110" s="5521" t="s">
        <v>865</v>
      </c>
    </row>
    <row customHeight="1" ht="11.25">
      <c r="A111" s="5521" t="s">
        <v>2259</v>
      </c>
      <c r="B111" s="5521" t="s">
        <v>16</v>
      </c>
      <c r="C111" s="5521" t="s">
        <v>2542</v>
      </c>
      <c r="D111" s="5521" t="s">
        <v>2543</v>
      </c>
      <c r="E111" s="5521" t="s">
        <v>2544</v>
      </c>
      <c r="F111" s="5521" t="s">
        <v>2285</v>
      </c>
      <c r="G111" s="5521" t="s">
        <v>2545</v>
      </c>
      <c r="H111" s="5521" t="s">
        <v>28</v>
      </c>
      <c r="I111" s="5521" t="s">
        <v>865</v>
      </c>
    </row>
    <row customHeight="1" ht="11.25">
      <c r="A112" s="5521" t="s">
        <v>2259</v>
      </c>
      <c r="B112" s="5521" t="s">
        <v>16</v>
      </c>
      <c r="C112" s="5521" t="s">
        <v>2340</v>
      </c>
      <c r="D112" s="5521" t="s">
        <v>2341</v>
      </c>
      <c r="E112" s="5521" t="s">
        <v>2342</v>
      </c>
      <c r="F112" s="5521" t="s">
        <v>51</v>
      </c>
      <c r="G112" s="5521" t="s">
        <v>2343</v>
      </c>
      <c r="H112" s="5521" t="s">
        <v>28</v>
      </c>
      <c r="I112" s="5521" t="s">
        <v>865</v>
      </c>
    </row>
    <row customHeight="1" ht="11.25">
      <c r="A113" s="5521" t="s">
        <v>2259</v>
      </c>
      <c r="B113" s="5521" t="s">
        <v>16</v>
      </c>
      <c r="C113" s="5521" t="s">
        <v>2546</v>
      </c>
      <c r="D113" s="5521" t="s">
        <v>2547</v>
      </c>
      <c r="E113" s="5521" t="s">
        <v>2548</v>
      </c>
      <c r="F113" s="5521" t="s">
        <v>2366</v>
      </c>
      <c r="G113" s="5521" t="s">
        <v>2549</v>
      </c>
      <c r="H113" s="5521" t="s">
        <v>28</v>
      </c>
      <c r="I113" s="5521" t="s">
        <v>865</v>
      </c>
    </row>
    <row customHeight="1" ht="11.25">
      <c r="A114" s="5521" t="s">
        <v>2259</v>
      </c>
      <c r="B114" s="5521" t="s">
        <v>16</v>
      </c>
      <c r="C114" s="5521" t="s">
        <v>2550</v>
      </c>
      <c r="D114" s="5521" t="s">
        <v>2551</v>
      </c>
      <c r="E114" s="5521" t="s">
        <v>2552</v>
      </c>
      <c r="F114" s="5521" t="s">
        <v>2482</v>
      </c>
      <c r="G114" s="5521" t="s">
        <v>28</v>
      </c>
      <c r="H114" s="5521" t="s">
        <v>28</v>
      </c>
      <c r="I114" s="5521" t="s">
        <v>865</v>
      </c>
    </row>
    <row customHeight="1" ht="11.25">
      <c r="A115" s="5521" t="s">
        <v>2259</v>
      </c>
      <c r="B115" s="5521" t="s">
        <v>16</v>
      </c>
      <c r="C115" s="5521" t="s">
        <v>2553</v>
      </c>
      <c r="D115" s="5521" t="s">
        <v>2554</v>
      </c>
      <c r="E115" s="5521" t="s">
        <v>2555</v>
      </c>
      <c r="F115" s="5521" t="s">
        <v>51</v>
      </c>
      <c r="G115" s="5521" t="s">
        <v>28</v>
      </c>
      <c r="H115" s="5521" t="s">
        <v>28</v>
      </c>
      <c r="I115" s="5521" t="s">
        <v>865</v>
      </c>
    </row>
    <row customHeight="1" ht="11.25">
      <c r="A116" s="5521" t="s">
        <v>2259</v>
      </c>
      <c r="B116" s="5521" t="s">
        <v>16</v>
      </c>
      <c r="C116" s="5521" t="s">
        <v>2556</v>
      </c>
      <c r="D116" s="5521" t="s">
        <v>2557</v>
      </c>
      <c r="E116" s="5521" t="s">
        <v>2558</v>
      </c>
      <c r="F116" s="5521" t="s">
        <v>2506</v>
      </c>
      <c r="G116" s="5521" t="s">
        <v>2559</v>
      </c>
      <c r="H116" s="5521" t="s">
        <v>28</v>
      </c>
      <c r="I116" s="5521" t="s">
        <v>865</v>
      </c>
    </row>
    <row customHeight="1" ht="11.25">
      <c r="A117" s="5521" t="s">
        <v>2259</v>
      </c>
      <c r="B117" s="5521" t="s">
        <v>16</v>
      </c>
      <c r="C117" s="5521" t="s">
        <v>2560</v>
      </c>
      <c r="D117" s="5521" t="s">
        <v>2561</v>
      </c>
      <c r="E117" s="5521" t="s">
        <v>2562</v>
      </c>
      <c r="F117" s="5521" t="s">
        <v>2295</v>
      </c>
      <c r="G117" s="5521" t="s">
        <v>2563</v>
      </c>
      <c r="H117" s="5521" t="s">
        <v>28</v>
      </c>
      <c r="I117" s="5521" t="s">
        <v>865</v>
      </c>
    </row>
    <row customHeight="1" ht="11.25">
      <c r="A118" s="5521" t="s">
        <v>2259</v>
      </c>
      <c r="B118" s="5521" t="s">
        <v>16</v>
      </c>
      <c r="C118" s="5521" t="s">
        <v>2564</v>
      </c>
      <c r="D118" s="5521" t="s">
        <v>2565</v>
      </c>
      <c r="E118" s="5521" t="s">
        <v>2566</v>
      </c>
      <c r="F118" s="5521" t="s">
        <v>2295</v>
      </c>
      <c r="G118" s="5521" t="s">
        <v>2567</v>
      </c>
      <c r="H118" s="5521" t="s">
        <v>28</v>
      </c>
      <c r="I118" s="5521" t="s">
        <v>865</v>
      </c>
    </row>
    <row customHeight="1" ht="11.25">
      <c r="A119" s="5521" t="s">
        <v>2259</v>
      </c>
      <c r="B119" s="5521" t="s">
        <v>16</v>
      </c>
      <c r="C119" s="5521" t="s">
        <v>2351</v>
      </c>
      <c r="D119" s="5521" t="s">
        <v>2352</v>
      </c>
      <c r="E119" s="5521" t="s">
        <v>2353</v>
      </c>
      <c r="F119" s="5521" t="s">
        <v>2300</v>
      </c>
      <c r="G119" s="5521" t="s">
        <v>2354</v>
      </c>
      <c r="H119" s="5521" t="s">
        <v>28</v>
      </c>
      <c r="I119" s="5521" t="s">
        <v>865</v>
      </c>
    </row>
    <row customHeight="1" ht="11.25">
      <c r="A120" s="5521" t="s">
        <v>2259</v>
      </c>
      <c r="B120" s="5521" t="s">
        <v>16</v>
      </c>
      <c r="C120" s="5521" t="s">
        <v>2568</v>
      </c>
      <c r="D120" s="5521" t="s">
        <v>2569</v>
      </c>
      <c r="E120" s="5521" t="s">
        <v>2570</v>
      </c>
      <c r="F120" s="5521" t="s">
        <v>2571</v>
      </c>
      <c r="G120" s="5521" t="s">
        <v>28</v>
      </c>
      <c r="H120" s="5521" t="s">
        <v>28</v>
      </c>
      <c r="I120" s="5521" t="s">
        <v>865</v>
      </c>
    </row>
    <row customHeight="1" ht="11.25">
      <c r="A121" s="5521" t="s">
        <v>2259</v>
      </c>
      <c r="B121" s="5521" t="s">
        <v>16</v>
      </c>
      <c r="C121" s="5521" t="s">
        <v>2572</v>
      </c>
      <c r="D121" s="5521" t="s">
        <v>2573</v>
      </c>
      <c r="E121" s="5521" t="s">
        <v>2574</v>
      </c>
      <c r="F121" s="5521" t="s">
        <v>2350</v>
      </c>
      <c r="G121" s="5521" t="s">
        <v>2575</v>
      </c>
      <c r="H121" s="5521" t="s">
        <v>28</v>
      </c>
      <c r="I121" s="5521" t="s">
        <v>865</v>
      </c>
    </row>
    <row customHeight="1" ht="11.25">
      <c r="A122" s="5521" t="s">
        <v>2259</v>
      </c>
      <c r="B122" s="5521" t="s">
        <v>16</v>
      </c>
      <c r="C122" s="5521" t="s">
        <v>2576</v>
      </c>
      <c r="D122" s="5521" t="s">
        <v>2577</v>
      </c>
      <c r="E122" s="5521" t="s">
        <v>2578</v>
      </c>
      <c r="F122" s="5521" t="s">
        <v>2323</v>
      </c>
      <c r="G122" s="5521" t="s">
        <v>28</v>
      </c>
      <c r="H122" s="5521" t="s">
        <v>28</v>
      </c>
      <c r="I122" s="5521" t="s">
        <v>865</v>
      </c>
    </row>
    <row customHeight="1" ht="11.25">
      <c r="A123" s="5521" t="s">
        <v>2259</v>
      </c>
      <c r="B123" s="5521" t="s">
        <v>16</v>
      </c>
      <c r="C123" s="5521" t="s">
        <v>2579</v>
      </c>
      <c r="D123" s="5521" t="s">
        <v>2580</v>
      </c>
      <c r="E123" s="5521" t="s">
        <v>2581</v>
      </c>
      <c r="F123" s="5521" t="s">
        <v>2571</v>
      </c>
      <c r="G123" s="5521" t="s">
        <v>28</v>
      </c>
      <c r="H123" s="5521" t="s">
        <v>28</v>
      </c>
      <c r="I123" s="5521" t="s">
        <v>865</v>
      </c>
    </row>
    <row customHeight="1" ht="11.25">
      <c r="A124" s="5521" t="s">
        <v>2259</v>
      </c>
      <c r="B124" s="5521" t="s">
        <v>16</v>
      </c>
      <c r="C124" s="5521" t="s">
        <v>2582</v>
      </c>
      <c r="D124" s="5521" t="s">
        <v>2583</v>
      </c>
      <c r="E124" s="5521" t="s">
        <v>2584</v>
      </c>
      <c r="F124" s="5521" t="s">
        <v>2285</v>
      </c>
      <c r="G124" s="5521" t="s">
        <v>2585</v>
      </c>
      <c r="H124" s="5521" t="s">
        <v>28</v>
      </c>
      <c r="I124" s="5521" t="s">
        <v>865</v>
      </c>
    </row>
    <row customHeight="1" ht="11.25">
      <c r="A125" s="5521" t="s">
        <v>2259</v>
      </c>
      <c r="B125" s="5521" t="s">
        <v>16</v>
      </c>
      <c r="C125" s="5521" t="s">
        <v>2586</v>
      </c>
      <c r="D125" s="5521" t="s">
        <v>2587</v>
      </c>
      <c r="E125" s="5521" t="s">
        <v>2588</v>
      </c>
      <c r="F125" s="5521" t="s">
        <v>2506</v>
      </c>
      <c r="G125" s="5521" t="s">
        <v>2589</v>
      </c>
      <c r="H125" s="5521" t="s">
        <v>28</v>
      </c>
      <c r="I125" s="5521" t="s">
        <v>865</v>
      </c>
    </row>
    <row customHeight="1" ht="11.25">
      <c r="A126" s="5521" t="s">
        <v>2259</v>
      </c>
      <c r="B126" s="5521" t="s">
        <v>16</v>
      </c>
      <c r="C126" s="5521" t="s">
        <v>2590</v>
      </c>
      <c r="D126" s="5521" t="s">
        <v>2591</v>
      </c>
      <c r="E126" s="5521" t="s">
        <v>2592</v>
      </c>
      <c r="F126" s="5521" t="s">
        <v>2506</v>
      </c>
      <c r="G126" s="5521" t="s">
        <v>2593</v>
      </c>
      <c r="H126" s="5521" t="s">
        <v>28</v>
      </c>
      <c r="I126" s="5521" t="s">
        <v>865</v>
      </c>
    </row>
    <row customHeight="1" ht="11.25">
      <c r="A127" s="5521" t="s">
        <v>2259</v>
      </c>
      <c r="B127" s="5521" t="s">
        <v>16</v>
      </c>
      <c r="C127" s="5521" t="s">
        <v>2594</v>
      </c>
      <c r="D127" s="5521" t="s">
        <v>2595</v>
      </c>
      <c r="E127" s="5521" t="s">
        <v>2596</v>
      </c>
      <c r="F127" s="5521" t="s">
        <v>2571</v>
      </c>
      <c r="G127" s="5521" t="s">
        <v>28</v>
      </c>
      <c r="H127" s="5521" t="s">
        <v>28</v>
      </c>
      <c r="I127" s="5521" t="s">
        <v>865</v>
      </c>
    </row>
    <row customHeight="1" ht="11.25">
      <c r="A128" s="5521" t="s">
        <v>2259</v>
      </c>
      <c r="B128" s="5521" t="s">
        <v>16</v>
      </c>
      <c r="C128" s="5521" t="s">
        <v>2597</v>
      </c>
      <c r="D128" s="5521" t="s">
        <v>2598</v>
      </c>
      <c r="E128" s="5521" t="s">
        <v>2599</v>
      </c>
      <c r="F128" s="5521" t="s">
        <v>2571</v>
      </c>
      <c r="G128" s="5521" t="s">
        <v>28</v>
      </c>
      <c r="H128" s="5521" t="s">
        <v>28</v>
      </c>
      <c r="I128" s="5521" t="s">
        <v>865</v>
      </c>
    </row>
    <row customHeight="1" ht="11.25">
      <c r="A129" s="5521" t="s">
        <v>2259</v>
      </c>
      <c r="B129" s="5521" t="s">
        <v>16</v>
      </c>
      <c r="C129" s="5521" t="s">
        <v>2600</v>
      </c>
      <c r="D129" s="5521" t="s">
        <v>2601</v>
      </c>
      <c r="E129" s="5521" t="s">
        <v>2602</v>
      </c>
      <c r="F129" s="5521" t="s">
        <v>2603</v>
      </c>
      <c r="G129" s="5521" t="s">
        <v>2604</v>
      </c>
      <c r="H129" s="5521" t="s">
        <v>28</v>
      </c>
      <c r="I129" s="5521" t="s">
        <v>865</v>
      </c>
    </row>
    <row customHeight="1" ht="11.25">
      <c r="A130" s="5521" t="s">
        <v>2259</v>
      </c>
      <c r="B130" s="5521" t="s">
        <v>16</v>
      </c>
      <c r="C130" s="5521" t="s">
        <v>2605</v>
      </c>
      <c r="D130" s="5521" t="s">
        <v>2606</v>
      </c>
      <c r="E130" s="5521" t="s">
        <v>2607</v>
      </c>
      <c r="F130" s="5521" t="s">
        <v>2608</v>
      </c>
      <c r="G130" s="5521" t="s">
        <v>28</v>
      </c>
      <c r="H130" s="5521" t="s">
        <v>28</v>
      </c>
      <c r="I130" s="5521" t="s">
        <v>865</v>
      </c>
    </row>
    <row customHeight="1" ht="11.25">
      <c r="A131" s="5521" t="s">
        <v>2259</v>
      </c>
      <c r="B131" s="5521" t="s">
        <v>16</v>
      </c>
      <c r="C131" s="5521" t="s">
        <v>2609</v>
      </c>
      <c r="D131" s="5521" t="s">
        <v>2610</v>
      </c>
      <c r="E131" s="5521" t="s">
        <v>2611</v>
      </c>
      <c r="F131" s="5521" t="s">
        <v>2272</v>
      </c>
      <c r="G131" s="5521" t="s">
        <v>2612</v>
      </c>
      <c r="H131" s="5521" t="s">
        <v>28</v>
      </c>
      <c r="I131" s="5521" t="s">
        <v>865</v>
      </c>
    </row>
    <row customHeight="1" ht="11.25">
      <c r="A132" s="5521" t="s">
        <v>2259</v>
      </c>
      <c r="B132" s="5521" t="s">
        <v>16</v>
      </c>
      <c r="C132" s="5521" t="s">
        <v>2613</v>
      </c>
      <c r="D132" s="5521" t="s">
        <v>2614</v>
      </c>
      <c r="E132" s="5521" t="s">
        <v>2615</v>
      </c>
      <c r="F132" s="5521" t="s">
        <v>2482</v>
      </c>
      <c r="G132" s="5521" t="s">
        <v>28</v>
      </c>
      <c r="H132" s="5521" t="s">
        <v>28</v>
      </c>
      <c r="I132" s="5521" t="s">
        <v>865</v>
      </c>
    </row>
    <row customHeight="1" ht="11.25">
      <c r="A133" s="5521" t="s">
        <v>2259</v>
      </c>
      <c r="B133" s="5521" t="s">
        <v>16</v>
      </c>
      <c r="C133" s="5521" t="s">
        <v>2616</v>
      </c>
      <c r="D133" s="5521" t="s">
        <v>2617</v>
      </c>
      <c r="E133" s="5521" t="s">
        <v>2618</v>
      </c>
      <c r="F133" s="5521" t="s">
        <v>2285</v>
      </c>
      <c r="G133" s="5521" t="s">
        <v>28</v>
      </c>
      <c r="H133" s="5521" t="s">
        <v>28</v>
      </c>
      <c r="I133" s="5521" t="s">
        <v>865</v>
      </c>
    </row>
    <row customHeight="1" ht="11.25">
      <c r="A134" s="5521" t="s">
        <v>2259</v>
      </c>
      <c r="B134" s="5521" t="s">
        <v>16</v>
      </c>
      <c r="C134" s="5521" t="s">
        <v>2379</v>
      </c>
      <c r="D134" s="5521" t="s">
        <v>2380</v>
      </c>
      <c r="E134" s="5521" t="s">
        <v>2381</v>
      </c>
      <c r="F134" s="5521" t="s">
        <v>2285</v>
      </c>
      <c r="G134" s="5521" t="s">
        <v>28</v>
      </c>
      <c r="H134" s="5521" t="s">
        <v>28</v>
      </c>
      <c r="I134" s="5521" t="s">
        <v>865</v>
      </c>
    </row>
    <row customHeight="1" ht="11.25">
      <c r="A135" s="5521" t="s">
        <v>2259</v>
      </c>
      <c r="B135" s="5521" t="s">
        <v>16</v>
      </c>
      <c r="C135" s="5521" t="s">
        <v>2382</v>
      </c>
      <c r="D135" s="5521" t="s">
        <v>2383</v>
      </c>
      <c r="E135" s="5521" t="s">
        <v>2384</v>
      </c>
      <c r="F135" s="5521" t="s">
        <v>2285</v>
      </c>
      <c r="G135" s="5521" t="s">
        <v>28</v>
      </c>
      <c r="H135" s="5521" t="s">
        <v>28</v>
      </c>
      <c r="I135" s="5521" t="s">
        <v>865</v>
      </c>
    </row>
    <row customHeight="1" ht="11.25">
      <c r="A136" s="5521" t="s">
        <v>2259</v>
      </c>
      <c r="B136" s="5521" t="s">
        <v>16</v>
      </c>
      <c r="C136" s="5521" t="s">
        <v>2619</v>
      </c>
      <c r="D136" s="5521" t="s">
        <v>2620</v>
      </c>
      <c r="E136" s="5521" t="s">
        <v>2621</v>
      </c>
      <c r="F136" s="5521" t="s">
        <v>2388</v>
      </c>
      <c r="G136" s="5521" t="s">
        <v>28</v>
      </c>
      <c r="H136" s="5521" t="s">
        <v>28</v>
      </c>
      <c r="I136" s="5521" t="s">
        <v>865</v>
      </c>
    </row>
    <row customHeight="1" ht="11.25">
      <c r="A137" s="5521" t="s">
        <v>2259</v>
      </c>
      <c r="B137" s="5521" t="s">
        <v>16</v>
      </c>
      <c r="C137" s="5521" t="s">
        <v>2622</v>
      </c>
      <c r="D137" s="5521" t="s">
        <v>2623</v>
      </c>
      <c r="E137" s="5521" t="s">
        <v>2624</v>
      </c>
      <c r="F137" s="5521" t="s">
        <v>2625</v>
      </c>
      <c r="G137" s="5521" t="s">
        <v>2626</v>
      </c>
      <c r="H137" s="5521" t="s">
        <v>28</v>
      </c>
      <c r="I137" s="5521" t="s">
        <v>865</v>
      </c>
    </row>
    <row customHeight="1" ht="11.25">
      <c r="A138" s="5521" t="s">
        <v>2259</v>
      </c>
      <c r="B138" s="5521" t="s">
        <v>16</v>
      </c>
      <c r="C138" s="5521" t="s">
        <v>2627</v>
      </c>
      <c r="D138" s="5521" t="s">
        <v>2628</v>
      </c>
      <c r="E138" s="5521" t="s">
        <v>2629</v>
      </c>
      <c r="F138" s="5521" t="s">
        <v>2366</v>
      </c>
      <c r="G138" s="5521" t="s">
        <v>28</v>
      </c>
      <c r="H138" s="5521" t="s">
        <v>28</v>
      </c>
      <c r="I138" s="5521" t="s">
        <v>865</v>
      </c>
    </row>
    <row customHeight="1" ht="11.25">
      <c r="A139" s="5521" t="s">
        <v>2259</v>
      </c>
      <c r="B139" s="5521" t="s">
        <v>16</v>
      </c>
      <c r="C139" s="5521" t="s">
        <v>2630</v>
      </c>
      <c r="D139" s="5521" t="s">
        <v>2631</v>
      </c>
      <c r="E139" s="5521" t="s">
        <v>2632</v>
      </c>
      <c r="F139" s="5521" t="s">
        <v>2350</v>
      </c>
      <c r="G139" s="5521" t="s">
        <v>2633</v>
      </c>
      <c r="H139" s="5521" t="s">
        <v>28</v>
      </c>
      <c r="I139" s="5521" t="s">
        <v>865</v>
      </c>
    </row>
    <row customHeight="1" ht="11.25">
      <c r="A140" s="5521" t="s">
        <v>2259</v>
      </c>
      <c r="B140" s="5521" t="s">
        <v>16</v>
      </c>
      <c r="C140" s="5521" t="s">
        <v>2634</v>
      </c>
      <c r="D140" s="5521" t="s">
        <v>2635</v>
      </c>
      <c r="E140" s="5521" t="s">
        <v>2636</v>
      </c>
      <c r="F140" s="5521" t="s">
        <v>2571</v>
      </c>
      <c r="G140" s="5521" t="s">
        <v>2637</v>
      </c>
      <c r="H140" s="5521" t="s">
        <v>28</v>
      </c>
      <c r="I140" s="5521" t="s">
        <v>865</v>
      </c>
    </row>
    <row customHeight="1" ht="11.25">
      <c r="A141" s="5521" t="s">
        <v>2259</v>
      </c>
      <c r="B141" s="5521" t="s">
        <v>16</v>
      </c>
      <c r="C141" s="5521" t="s">
        <v>2638</v>
      </c>
      <c r="D141" s="5521" t="s">
        <v>2639</v>
      </c>
      <c r="E141" s="5521" t="s">
        <v>2640</v>
      </c>
      <c r="F141" s="5521" t="s">
        <v>2285</v>
      </c>
      <c r="G141" s="5521" t="s">
        <v>28</v>
      </c>
      <c r="H141" s="5521" t="s">
        <v>28</v>
      </c>
      <c r="I141" s="5521" t="s">
        <v>865</v>
      </c>
    </row>
    <row customHeight="1" ht="11.25">
      <c r="A142" s="5521" t="s">
        <v>2259</v>
      </c>
      <c r="B142" s="5521" t="s">
        <v>16</v>
      </c>
      <c r="C142" s="5521" t="s">
        <v>2641</v>
      </c>
      <c r="D142" s="5521" t="s">
        <v>2642</v>
      </c>
      <c r="E142" s="5521" t="s">
        <v>2643</v>
      </c>
      <c r="F142" s="5521" t="s">
        <v>2366</v>
      </c>
      <c r="G142" s="5521" t="s">
        <v>2644</v>
      </c>
      <c r="H142" s="5521" t="s">
        <v>28</v>
      </c>
      <c r="I142" s="5521" t="s">
        <v>865</v>
      </c>
    </row>
    <row customHeight="1" ht="11.25">
      <c r="A143" s="5521" t="s">
        <v>2259</v>
      </c>
      <c r="B143" s="5521" t="s">
        <v>16</v>
      </c>
      <c r="C143" s="5521" t="s">
        <v>2645</v>
      </c>
      <c r="D143" s="5521" t="s">
        <v>2646</v>
      </c>
      <c r="E143" s="5521" t="s">
        <v>2647</v>
      </c>
      <c r="F143" s="5521" t="s">
        <v>2482</v>
      </c>
      <c r="G143" s="5521" t="s">
        <v>28</v>
      </c>
      <c r="H143" s="5521" t="s">
        <v>28</v>
      </c>
      <c r="I143" s="5521" t="s">
        <v>865</v>
      </c>
    </row>
    <row customHeight="1" ht="11.25">
      <c r="A144" s="5521" t="s">
        <v>2259</v>
      </c>
      <c r="B144" s="5521" t="s">
        <v>16</v>
      </c>
      <c r="C144" s="5521" t="s">
        <v>2405</v>
      </c>
      <c r="D144" s="5521" t="s">
        <v>2406</v>
      </c>
      <c r="E144" s="5521" t="s">
        <v>2407</v>
      </c>
      <c r="F144" s="5521" t="s">
        <v>2285</v>
      </c>
      <c r="G144" s="5521" t="s">
        <v>28</v>
      </c>
      <c r="H144" s="5521" t="s">
        <v>28</v>
      </c>
      <c r="I144" s="5521" t="s">
        <v>865</v>
      </c>
    </row>
    <row customHeight="1" ht="11.25">
      <c r="A145" s="5521" t="s">
        <v>2259</v>
      </c>
      <c r="B145" s="5521" t="s">
        <v>16</v>
      </c>
      <c r="C145" s="5521" t="s">
        <v>2648</v>
      </c>
      <c r="D145" s="5521" t="s">
        <v>2649</v>
      </c>
      <c r="E145" s="5521" t="s">
        <v>2650</v>
      </c>
      <c r="F145" s="5521" t="s">
        <v>2285</v>
      </c>
      <c r="G145" s="5521" t="s">
        <v>2651</v>
      </c>
      <c r="H145" s="5521" t="s">
        <v>28</v>
      </c>
      <c r="I145" s="5521" t="s">
        <v>865</v>
      </c>
    </row>
    <row customHeight="1" ht="11.25">
      <c r="A146" s="5521" t="s">
        <v>2259</v>
      </c>
      <c r="B146" s="5521" t="s">
        <v>16</v>
      </c>
      <c r="C146" s="5521" t="s">
        <v>2412</v>
      </c>
      <c r="D146" s="5521" t="s">
        <v>2413</v>
      </c>
      <c r="E146" s="5521" t="s">
        <v>2414</v>
      </c>
      <c r="F146" s="5521" t="s">
        <v>2285</v>
      </c>
      <c r="G146" s="5521" t="s">
        <v>2415</v>
      </c>
      <c r="H146" s="5521" t="s">
        <v>28</v>
      </c>
      <c r="I146" s="5521" t="s">
        <v>865</v>
      </c>
    </row>
    <row customHeight="1" ht="11.25">
      <c r="A147" s="5521" t="s">
        <v>2259</v>
      </c>
      <c r="B147" s="5521" t="s">
        <v>16</v>
      </c>
      <c r="C147" s="5521" t="s">
        <v>2652</v>
      </c>
      <c r="D147" s="5521" t="s">
        <v>2653</v>
      </c>
      <c r="E147" s="5521" t="s">
        <v>2654</v>
      </c>
      <c r="F147" s="5521" t="s">
        <v>2285</v>
      </c>
      <c r="G147" s="5521" t="s">
        <v>28</v>
      </c>
      <c r="H147" s="5521" t="s">
        <v>28</v>
      </c>
      <c r="I147" s="5521" t="s">
        <v>865</v>
      </c>
    </row>
    <row customHeight="1" ht="11.25">
      <c r="A148" s="5521" t="s">
        <v>2259</v>
      </c>
      <c r="B148" s="5521" t="s">
        <v>16</v>
      </c>
      <c r="C148" s="5521" t="s">
        <v>2422</v>
      </c>
      <c r="D148" s="5521" t="s">
        <v>2423</v>
      </c>
      <c r="E148" s="5521" t="s">
        <v>2424</v>
      </c>
      <c r="F148" s="5521" t="s">
        <v>2425</v>
      </c>
      <c r="G148" s="5521" t="s">
        <v>28</v>
      </c>
      <c r="H148" s="5521" t="s">
        <v>28</v>
      </c>
      <c r="I148" s="5521" t="s">
        <v>865</v>
      </c>
    </row>
    <row customHeight="1" ht="11.25">
      <c r="A149" s="5521" t="s">
        <v>2259</v>
      </c>
      <c r="B149" s="5521" t="s">
        <v>16</v>
      </c>
      <c r="C149" s="5521" t="s">
        <v>2655</v>
      </c>
      <c r="D149" s="5521" t="s">
        <v>2656</v>
      </c>
      <c r="E149" s="5521" t="s">
        <v>2657</v>
      </c>
      <c r="F149" s="5521" t="s">
        <v>2571</v>
      </c>
      <c r="G149" s="5521" t="s">
        <v>2658</v>
      </c>
      <c r="H149" s="5521" t="s">
        <v>28</v>
      </c>
      <c r="I149" s="5521" t="s">
        <v>865</v>
      </c>
    </row>
    <row customHeight="1" ht="11.25">
      <c r="A150" s="5521" t="s">
        <v>2259</v>
      </c>
      <c r="B150" s="5521" t="s">
        <v>16</v>
      </c>
      <c r="C150" s="5521" t="s">
        <v>2426</v>
      </c>
      <c r="D150" s="5521" t="s">
        <v>2427</v>
      </c>
      <c r="E150" s="5521" t="s">
        <v>2428</v>
      </c>
      <c r="F150" s="5521" t="s">
        <v>2350</v>
      </c>
      <c r="G150" s="5521" t="s">
        <v>2429</v>
      </c>
      <c r="H150" s="5521" t="s">
        <v>28</v>
      </c>
      <c r="I150" s="5521" t="s">
        <v>865</v>
      </c>
    </row>
    <row customHeight="1" ht="11.25">
      <c r="A151" s="5521" t="s">
        <v>2259</v>
      </c>
      <c r="B151" s="5521" t="s">
        <v>16</v>
      </c>
      <c r="C151" s="5521" t="s">
        <v>2659</v>
      </c>
      <c r="D151" s="5521" t="s">
        <v>2660</v>
      </c>
      <c r="E151" s="5521" t="s">
        <v>2661</v>
      </c>
      <c r="F151" s="5521" t="s">
        <v>2304</v>
      </c>
      <c r="G151" s="5521" t="s">
        <v>2662</v>
      </c>
      <c r="H151" s="5521" t="s">
        <v>28</v>
      </c>
      <c r="I151" s="5521" t="s">
        <v>865</v>
      </c>
    </row>
    <row customHeight="1" ht="11.25">
      <c r="A152" s="5521" t="s">
        <v>2259</v>
      </c>
      <c r="B152" s="5521" t="s">
        <v>16</v>
      </c>
      <c r="C152" s="5521" t="s">
        <v>2663</v>
      </c>
      <c r="D152" s="5521" t="s">
        <v>2664</v>
      </c>
      <c r="E152" s="5521" t="s">
        <v>2665</v>
      </c>
      <c r="F152" s="5521" t="s">
        <v>51</v>
      </c>
      <c r="G152" s="5521" t="s">
        <v>2666</v>
      </c>
      <c r="H152" s="5521" t="s">
        <v>28</v>
      </c>
      <c r="I152" s="5521" t="s">
        <v>865</v>
      </c>
    </row>
    <row customHeight="1" ht="11.25">
      <c r="A153" s="5521" t="s">
        <v>2259</v>
      </c>
      <c r="B153" s="5521" t="s">
        <v>16</v>
      </c>
      <c r="C153" s="5521" t="s">
        <v>2667</v>
      </c>
      <c r="D153" s="5521" t="s">
        <v>2668</v>
      </c>
      <c r="E153" s="5521" t="s">
        <v>2669</v>
      </c>
      <c r="F153" s="5521" t="s">
        <v>2571</v>
      </c>
      <c r="G153" s="5521" t="s">
        <v>28</v>
      </c>
      <c r="H153" s="5521" t="s">
        <v>28</v>
      </c>
      <c r="I153" s="5521" t="s">
        <v>865</v>
      </c>
    </row>
    <row customHeight="1" ht="11.25">
      <c r="A154" s="5521" t="s">
        <v>2259</v>
      </c>
      <c r="B154" s="5521" t="s">
        <v>16</v>
      </c>
      <c r="C154" s="5521" t="s">
        <v>2670</v>
      </c>
      <c r="D154" s="5521" t="s">
        <v>2671</v>
      </c>
      <c r="E154" s="5521" t="s">
        <v>2672</v>
      </c>
      <c r="F154" s="5521" t="s">
        <v>2571</v>
      </c>
      <c r="G154" s="5521" t="s">
        <v>2673</v>
      </c>
      <c r="H154" s="5521" t="s">
        <v>28</v>
      </c>
      <c r="I154" s="5521" t="s">
        <v>865</v>
      </c>
    </row>
    <row customHeight="1" ht="11.25">
      <c r="A155" s="5521" t="s">
        <v>2259</v>
      </c>
      <c r="B155" s="5521" t="s">
        <v>16</v>
      </c>
      <c r="C155" s="5521" t="s">
        <v>2674</v>
      </c>
      <c r="D155" s="5521" t="s">
        <v>2675</v>
      </c>
      <c r="E155" s="5521" t="s">
        <v>2676</v>
      </c>
      <c r="F155" s="5521" t="s">
        <v>2388</v>
      </c>
      <c r="G155" s="5521" t="s">
        <v>28</v>
      </c>
      <c r="H155" s="5521" t="s">
        <v>28</v>
      </c>
      <c r="I155" s="5521" t="s">
        <v>865</v>
      </c>
    </row>
    <row customHeight="1" ht="11.25">
      <c r="A156" s="5521" t="s">
        <v>2259</v>
      </c>
      <c r="B156" s="5521" t="s">
        <v>16</v>
      </c>
      <c r="C156" s="5521" t="s">
        <v>2433</v>
      </c>
      <c r="D156" s="5521" t="s">
        <v>2434</v>
      </c>
      <c r="E156" s="5521" t="s">
        <v>2435</v>
      </c>
      <c r="F156" s="5521" t="s">
        <v>2295</v>
      </c>
      <c r="G156" s="5521" t="s">
        <v>2436</v>
      </c>
      <c r="H156" s="5521" t="s">
        <v>28</v>
      </c>
      <c r="I156" s="5521" t="s">
        <v>865</v>
      </c>
    </row>
    <row customHeight="1" ht="11.25">
      <c r="A157" s="5521" t="s">
        <v>2259</v>
      </c>
      <c r="B157" s="5521" t="s">
        <v>16</v>
      </c>
      <c r="C157" s="5521" t="s">
        <v>2440</v>
      </c>
      <c r="D157" s="5521" t="s">
        <v>2441</v>
      </c>
      <c r="E157" s="5521" t="s">
        <v>2442</v>
      </c>
      <c r="F157" s="5521" t="s">
        <v>2443</v>
      </c>
      <c r="G157" s="5521" t="s">
        <v>28</v>
      </c>
      <c r="H157" s="5521" t="s">
        <v>28</v>
      </c>
      <c r="I157" s="5521" t="s">
        <v>865</v>
      </c>
    </row>
    <row customHeight="1" ht="11.25">
      <c r="A158" s="5521" t="s">
        <v>2259</v>
      </c>
      <c r="B158" s="5521" t="s">
        <v>16</v>
      </c>
      <c r="C158" s="5521" t="s">
        <v>2447</v>
      </c>
      <c r="D158" s="5521" t="s">
        <v>2448</v>
      </c>
      <c r="E158" s="5521" t="s">
        <v>2449</v>
      </c>
      <c r="F158" s="5521" t="s">
        <v>51</v>
      </c>
      <c r="G158" s="5521" t="s">
        <v>2450</v>
      </c>
      <c r="H158" s="5521" t="s">
        <v>28</v>
      </c>
      <c r="I158" s="5521" t="s">
        <v>865</v>
      </c>
    </row>
    <row customHeight="1" ht="11.25">
      <c r="A159" s="5521" t="s">
        <v>2259</v>
      </c>
      <c r="B159" s="5521" t="s">
        <v>16</v>
      </c>
      <c r="C159" s="5521" t="s">
        <v>2451</v>
      </c>
      <c r="D159" s="5521" t="s">
        <v>2452</v>
      </c>
      <c r="E159" s="5521" t="s">
        <v>2453</v>
      </c>
      <c r="F159" s="5521" t="s">
        <v>51</v>
      </c>
      <c r="G159" s="5521" t="s">
        <v>2454</v>
      </c>
      <c r="H159" s="5521" t="s">
        <v>28</v>
      </c>
      <c r="I159" s="5521" t="s">
        <v>865</v>
      </c>
    </row>
    <row customHeight="1" ht="11.25">
      <c r="A160" s="5521" t="s">
        <v>2259</v>
      </c>
      <c r="B160" s="5521" t="s">
        <v>16</v>
      </c>
      <c r="C160" s="5521" t="s">
        <v>2677</v>
      </c>
      <c r="D160" s="5521" t="s">
        <v>2678</v>
      </c>
      <c r="E160" s="5521" t="s">
        <v>2679</v>
      </c>
      <c r="F160" s="5521" t="s">
        <v>2285</v>
      </c>
      <c r="G160" s="5521" t="s">
        <v>2680</v>
      </c>
      <c r="H160" s="5521" t="s">
        <v>28</v>
      </c>
      <c r="I160" s="5521" t="s">
        <v>865</v>
      </c>
    </row>
    <row customHeight="1" ht="11.25">
      <c r="A161" s="5521" t="s">
        <v>2259</v>
      </c>
      <c r="B161" s="5521" t="s">
        <v>16</v>
      </c>
      <c r="C161" s="5521" t="s">
        <v>2463</v>
      </c>
      <c r="D161" s="5521" t="s">
        <v>2464</v>
      </c>
      <c r="E161" s="5521" t="s">
        <v>2465</v>
      </c>
      <c r="F161" s="5521" t="s">
        <v>2466</v>
      </c>
      <c r="G161" s="5521" t="s">
        <v>2467</v>
      </c>
      <c r="H161" s="5521" t="s">
        <v>28</v>
      </c>
      <c r="I161" s="5521" t="s">
        <v>865</v>
      </c>
    </row>
    <row customHeight="1" ht="11.25">
      <c r="A162" s="5521" t="s">
        <v>2259</v>
      </c>
      <c r="B162" s="5521" t="s">
        <v>16</v>
      </c>
      <c r="C162" s="5521" t="s">
        <v>2681</v>
      </c>
      <c r="D162" s="5521" t="s">
        <v>2682</v>
      </c>
      <c r="E162" s="5521" t="s">
        <v>2465</v>
      </c>
      <c r="F162" s="5521" t="s">
        <v>2683</v>
      </c>
      <c r="G162" s="5521" t="s">
        <v>2684</v>
      </c>
      <c r="H162" s="5521" t="s">
        <v>28</v>
      </c>
      <c r="I162" s="5521" t="s">
        <v>865</v>
      </c>
    </row>
    <row customHeight="1" ht="11.25">
      <c r="A163" s="5521" t="s">
        <v>2259</v>
      </c>
      <c r="B163" s="5521" t="s">
        <v>16</v>
      </c>
      <c r="C163" s="5521" t="s">
        <v>2468</v>
      </c>
      <c r="D163" s="5521" t="s">
        <v>2469</v>
      </c>
      <c r="E163" s="5521" t="s">
        <v>2442</v>
      </c>
      <c r="F163" s="5521" t="s">
        <v>2470</v>
      </c>
      <c r="G163" s="5521" t="s">
        <v>28</v>
      </c>
      <c r="H163" s="5521" t="s">
        <v>28</v>
      </c>
      <c r="I163" s="5521" t="s">
        <v>865</v>
      </c>
    </row>
    <row customHeight="1" ht="11.25">
      <c r="A164" s="5521" t="s">
        <v>2259</v>
      </c>
      <c r="B164" s="5521" t="s">
        <v>16</v>
      </c>
      <c r="C164" s="5521" t="s">
        <v>2475</v>
      </c>
      <c r="D164" s="5521" t="s">
        <v>2476</v>
      </c>
      <c r="E164" s="5521" t="s">
        <v>2477</v>
      </c>
      <c r="F164" s="5521" t="s">
        <v>2338</v>
      </c>
      <c r="G164" s="5521" t="s">
        <v>2478</v>
      </c>
      <c r="H164" s="5521" t="s">
        <v>28</v>
      </c>
      <c r="I164" s="5521" t="s">
        <v>918</v>
      </c>
    </row>
    <row customHeight="1" ht="11.25">
      <c r="A165" s="5521" t="s">
        <v>2259</v>
      </c>
      <c r="B165" s="5521" t="s">
        <v>16</v>
      </c>
      <c r="C165" s="5521" t="s">
        <v>2264</v>
      </c>
      <c r="D165" s="5521" t="s">
        <v>2261</v>
      </c>
      <c r="E165" s="5521" t="s">
        <v>2262</v>
      </c>
      <c r="F165" s="5521" t="s">
        <v>2265</v>
      </c>
      <c r="G165" s="5521" t="s">
        <v>28</v>
      </c>
      <c r="H165" s="5521" t="s">
        <v>28</v>
      </c>
      <c r="I165" s="5521" t="s">
        <v>918</v>
      </c>
    </row>
    <row customHeight="1" ht="11.25">
      <c r="A166" s="5521" t="s">
        <v>2259</v>
      </c>
      <c r="B166" s="5521" t="s">
        <v>16</v>
      </c>
      <c r="C166" s="5521" t="s">
        <v>2278</v>
      </c>
      <c r="D166" s="5521" t="s">
        <v>2279</v>
      </c>
      <c r="E166" s="5521" t="s">
        <v>2280</v>
      </c>
      <c r="F166" s="5521" t="s">
        <v>2272</v>
      </c>
      <c r="G166" s="5521" t="s">
        <v>2281</v>
      </c>
      <c r="H166" s="5521" t="s">
        <v>28</v>
      </c>
      <c r="I166" s="5521" t="s">
        <v>918</v>
      </c>
    </row>
    <row customHeight="1" ht="11.25">
      <c r="A167" s="5521" t="s">
        <v>2259</v>
      </c>
      <c r="B167" s="5521" t="s">
        <v>16</v>
      </c>
      <c r="C167" s="5521" t="s">
        <v>2487</v>
      </c>
      <c r="D167" s="5521" t="s">
        <v>2488</v>
      </c>
      <c r="E167" s="5521" t="s">
        <v>2489</v>
      </c>
      <c r="F167" s="5521" t="s">
        <v>2482</v>
      </c>
      <c r="G167" s="5521" t="s">
        <v>2490</v>
      </c>
      <c r="H167" s="5521" t="s">
        <v>28</v>
      </c>
      <c r="I167" s="5521" t="s">
        <v>918</v>
      </c>
    </row>
    <row customHeight="1" ht="11.25">
      <c r="A168" s="5521" t="s">
        <v>2259</v>
      </c>
      <c r="B168" s="5521" t="s">
        <v>16</v>
      </c>
      <c r="C168" s="5521" t="s">
        <v>2286</v>
      </c>
      <c r="D168" s="5521" t="s">
        <v>2287</v>
      </c>
      <c r="E168" s="5521" t="s">
        <v>2288</v>
      </c>
      <c r="F168" s="5521" t="s">
        <v>2272</v>
      </c>
      <c r="G168" s="5521" t="s">
        <v>2289</v>
      </c>
      <c r="H168" s="5521" t="s">
        <v>28</v>
      </c>
      <c r="I168" s="5521" t="s">
        <v>918</v>
      </c>
    </row>
    <row customHeight="1" ht="11.25">
      <c r="A169" s="5521" t="s">
        <v>2259</v>
      </c>
      <c r="B169" s="5521" t="s">
        <v>16</v>
      </c>
      <c r="C169" s="5521" t="s">
        <v>28</v>
      </c>
      <c r="D169" s="5521" t="s">
        <v>2290</v>
      </c>
      <c r="E169" s="5521" t="s">
        <v>2291</v>
      </c>
      <c r="F169" s="5521" t="s">
        <v>51</v>
      </c>
      <c r="G169" s="5521" t="s">
        <v>28</v>
      </c>
      <c r="H169" s="5521" t="s">
        <v>28</v>
      </c>
      <c r="I169" s="5521" t="s">
        <v>918</v>
      </c>
    </row>
    <row customHeight="1" ht="11.25">
      <c r="A170" s="5521" t="s">
        <v>2259</v>
      </c>
      <c r="B170" s="5521" t="s">
        <v>16</v>
      </c>
      <c r="C170" s="5521" t="s">
        <v>2301</v>
      </c>
      <c r="D170" s="5521" t="s">
        <v>2302</v>
      </c>
      <c r="E170" s="5521" t="s">
        <v>2303</v>
      </c>
      <c r="F170" s="5521" t="s">
        <v>2304</v>
      </c>
      <c r="G170" s="5521" t="s">
        <v>2305</v>
      </c>
      <c r="H170" s="5521" t="s">
        <v>28</v>
      </c>
      <c r="I170" s="5521" t="s">
        <v>918</v>
      </c>
    </row>
    <row customHeight="1" ht="11.25">
      <c r="A171" s="5521" t="s">
        <v>2259</v>
      </c>
      <c r="B171" s="5521" t="s">
        <v>16</v>
      </c>
      <c r="C171" s="5521" t="s">
        <v>2503</v>
      </c>
      <c r="D171" s="5521" t="s">
        <v>2504</v>
      </c>
      <c r="E171" s="5521" t="s">
        <v>2505</v>
      </c>
      <c r="F171" s="5521" t="s">
        <v>2506</v>
      </c>
      <c r="G171" s="5521" t="s">
        <v>2507</v>
      </c>
      <c r="H171" s="5521" t="s">
        <v>28</v>
      </c>
      <c r="I171" s="5521" t="s">
        <v>918</v>
      </c>
    </row>
    <row customHeight="1" ht="11.25">
      <c r="A172" s="5521" t="s">
        <v>2259</v>
      </c>
      <c r="B172" s="5521" t="s">
        <v>16</v>
      </c>
      <c r="C172" s="5521" t="s">
        <v>2508</v>
      </c>
      <c r="D172" s="5521" t="s">
        <v>2509</v>
      </c>
      <c r="E172" s="5521" t="s">
        <v>2510</v>
      </c>
      <c r="F172" s="5521" t="s">
        <v>2396</v>
      </c>
      <c r="G172" s="5521" t="s">
        <v>2511</v>
      </c>
      <c r="H172" s="5521" t="s">
        <v>28</v>
      </c>
      <c r="I172" s="5521" t="s">
        <v>918</v>
      </c>
    </row>
    <row customHeight="1" ht="11.25">
      <c r="A173" s="5521" t="s">
        <v>2259</v>
      </c>
      <c r="B173" s="5521" t="s">
        <v>16</v>
      </c>
      <c r="C173" s="5521" t="s">
        <v>2512</v>
      </c>
      <c r="D173" s="5521" t="s">
        <v>46</v>
      </c>
      <c r="E173" s="5521" t="s">
        <v>2513</v>
      </c>
      <c r="F173" s="5521" t="s">
        <v>2295</v>
      </c>
      <c r="G173" s="5521" t="s">
        <v>2514</v>
      </c>
      <c r="H173" s="5521" t="s">
        <v>28</v>
      </c>
      <c r="I173" s="5521" t="s">
        <v>918</v>
      </c>
    </row>
    <row customHeight="1" ht="11.25">
      <c r="A174" s="5521" t="s">
        <v>2259</v>
      </c>
      <c r="B174" s="5521" t="s">
        <v>16</v>
      </c>
      <c r="C174" s="5521" t="s">
        <v>2515</v>
      </c>
      <c r="D174" s="5521" t="s">
        <v>46</v>
      </c>
      <c r="E174" s="5521" t="s">
        <v>2516</v>
      </c>
      <c r="F174" s="5521" t="s">
        <v>2362</v>
      </c>
      <c r="G174" s="5521" t="s">
        <v>2486</v>
      </c>
      <c r="H174" s="5521" t="s">
        <v>28</v>
      </c>
      <c r="I174" s="5521" t="s">
        <v>918</v>
      </c>
    </row>
    <row customHeight="1" ht="11.25">
      <c r="A175" s="5521" t="s">
        <v>2259</v>
      </c>
      <c r="B175" s="5521" t="s">
        <v>16</v>
      </c>
      <c r="C175" s="5521" t="s">
        <v>13</v>
      </c>
      <c r="D175" s="5521" t="s">
        <v>46</v>
      </c>
      <c r="E175" s="5521" t="s">
        <v>49</v>
      </c>
      <c r="F175" s="5521" t="s">
        <v>51</v>
      </c>
      <c r="G175" s="5521" t="s">
        <v>2517</v>
      </c>
      <c r="H175" s="5521" t="s">
        <v>28</v>
      </c>
      <c r="I175" s="5521" t="s">
        <v>918</v>
      </c>
    </row>
    <row customHeight="1" ht="11.25">
      <c r="A176" s="5521" t="s">
        <v>2259</v>
      </c>
      <c r="B176" s="5521" t="s">
        <v>16</v>
      </c>
      <c r="C176" s="5521" t="s">
        <v>2518</v>
      </c>
      <c r="D176" s="5521" t="s">
        <v>46</v>
      </c>
      <c r="E176" s="5521" t="s">
        <v>2519</v>
      </c>
      <c r="F176" s="5521" t="s">
        <v>2313</v>
      </c>
      <c r="G176" s="5521" t="s">
        <v>28</v>
      </c>
      <c r="H176" s="5521" t="s">
        <v>28</v>
      </c>
      <c r="I176" s="5521" t="s">
        <v>918</v>
      </c>
    </row>
    <row customHeight="1" ht="11.25">
      <c r="A177" s="5521" t="s">
        <v>2259</v>
      </c>
      <c r="B177" s="5521" t="s">
        <v>16</v>
      </c>
      <c r="C177" s="5521" t="s">
        <v>2520</v>
      </c>
      <c r="D177" s="5521" t="s">
        <v>2521</v>
      </c>
      <c r="E177" s="5521" t="s">
        <v>2522</v>
      </c>
      <c r="F177" s="5521" t="s">
        <v>2323</v>
      </c>
      <c r="G177" s="5521" t="s">
        <v>28</v>
      </c>
      <c r="H177" s="5521" t="s">
        <v>28</v>
      </c>
      <c r="I177" s="5521" t="s">
        <v>918</v>
      </c>
    </row>
    <row customHeight="1" ht="11.25">
      <c r="A178" s="5521" t="s">
        <v>2259</v>
      </c>
      <c r="B178" s="5521" t="s">
        <v>16</v>
      </c>
      <c r="C178" s="5521" t="s">
        <v>2523</v>
      </c>
      <c r="D178" s="5521" t="s">
        <v>2524</v>
      </c>
      <c r="E178" s="5521" t="s">
        <v>2525</v>
      </c>
      <c r="F178" s="5521" t="s">
        <v>2366</v>
      </c>
      <c r="G178" s="5521" t="s">
        <v>28</v>
      </c>
      <c r="H178" s="5521" t="s">
        <v>28</v>
      </c>
      <c r="I178" s="5521" t="s">
        <v>918</v>
      </c>
    </row>
    <row customHeight="1" ht="11.25">
      <c r="A179" s="5521" t="s">
        <v>2259</v>
      </c>
      <c r="B179" s="5521" t="s">
        <v>16</v>
      </c>
      <c r="C179" s="5521" t="s">
        <v>2526</v>
      </c>
      <c r="D179" s="5521" t="s">
        <v>2527</v>
      </c>
      <c r="E179" s="5521" t="s">
        <v>2528</v>
      </c>
      <c r="F179" s="5521" t="s">
        <v>2506</v>
      </c>
      <c r="G179" s="5521" t="s">
        <v>2529</v>
      </c>
      <c r="H179" s="5521" t="s">
        <v>28</v>
      </c>
      <c r="I179" s="5521" t="s">
        <v>918</v>
      </c>
    </row>
    <row customHeight="1" ht="11.25">
      <c r="A180" s="5521" t="s">
        <v>2259</v>
      </c>
      <c r="B180" s="5521" t="s">
        <v>16</v>
      </c>
      <c r="C180" s="5521" t="s">
        <v>2310</v>
      </c>
      <c r="D180" s="5521" t="s">
        <v>2311</v>
      </c>
      <c r="E180" s="5521" t="s">
        <v>2312</v>
      </c>
      <c r="F180" s="5521" t="s">
        <v>2313</v>
      </c>
      <c r="G180" s="5521" t="s">
        <v>2314</v>
      </c>
      <c r="H180" s="5521" t="s">
        <v>28</v>
      </c>
      <c r="I180" s="5521" t="s">
        <v>918</v>
      </c>
    </row>
    <row customHeight="1" ht="11.25">
      <c r="A181" s="5521" t="s">
        <v>2259</v>
      </c>
      <c r="B181" s="5521" t="s">
        <v>16</v>
      </c>
      <c r="C181" s="5521" t="s">
        <v>2530</v>
      </c>
      <c r="D181" s="5521" t="s">
        <v>2531</v>
      </c>
      <c r="E181" s="5521" t="s">
        <v>2532</v>
      </c>
      <c r="F181" s="5521" t="s">
        <v>2295</v>
      </c>
      <c r="G181" s="5521" t="s">
        <v>2533</v>
      </c>
      <c r="H181" s="5521" t="s">
        <v>28</v>
      </c>
      <c r="I181" s="5521" t="s">
        <v>918</v>
      </c>
    </row>
    <row customHeight="1" ht="11.25">
      <c r="A182" s="5521" t="s">
        <v>2259</v>
      </c>
      <c r="B182" s="5521" t="s">
        <v>16</v>
      </c>
      <c r="C182" s="5521" t="s">
        <v>2534</v>
      </c>
      <c r="D182" s="5521" t="s">
        <v>2535</v>
      </c>
      <c r="E182" s="5521" t="s">
        <v>2536</v>
      </c>
      <c r="F182" s="5521" t="s">
        <v>2388</v>
      </c>
      <c r="G182" s="5521" t="s">
        <v>2537</v>
      </c>
      <c r="H182" s="5521" t="s">
        <v>28</v>
      </c>
      <c r="I182" s="5521" t="s">
        <v>918</v>
      </c>
    </row>
    <row customHeight="1" ht="11.25">
      <c r="A183" s="5521" t="s">
        <v>2259</v>
      </c>
      <c r="B183" s="5521" t="s">
        <v>16</v>
      </c>
      <c r="C183" s="5521" t="s">
        <v>2538</v>
      </c>
      <c r="D183" s="5521" t="s">
        <v>2539</v>
      </c>
      <c r="E183" s="5521" t="s">
        <v>2540</v>
      </c>
      <c r="F183" s="5521" t="s">
        <v>2501</v>
      </c>
      <c r="G183" s="5521" t="s">
        <v>2541</v>
      </c>
      <c r="H183" s="5521" t="s">
        <v>28</v>
      </c>
      <c r="I183" s="5521" t="s">
        <v>918</v>
      </c>
    </row>
    <row customHeight="1" ht="11.25">
      <c r="A184" s="5521" t="s">
        <v>2259</v>
      </c>
      <c r="B184" s="5521" t="s">
        <v>16</v>
      </c>
      <c r="C184" s="5521" t="s">
        <v>2320</v>
      </c>
      <c r="D184" s="5521" t="s">
        <v>2321</v>
      </c>
      <c r="E184" s="5521" t="s">
        <v>2322</v>
      </c>
      <c r="F184" s="5521" t="s">
        <v>2323</v>
      </c>
      <c r="G184" s="5521" t="s">
        <v>28</v>
      </c>
      <c r="H184" s="5521" t="s">
        <v>28</v>
      </c>
      <c r="I184" s="5521" t="s">
        <v>918</v>
      </c>
    </row>
    <row customHeight="1" ht="11.25">
      <c r="A185" s="5521" t="s">
        <v>2259</v>
      </c>
      <c r="B185" s="5521" t="s">
        <v>16</v>
      </c>
      <c r="C185" s="5521" t="s">
        <v>2542</v>
      </c>
      <c r="D185" s="5521" t="s">
        <v>2543</v>
      </c>
      <c r="E185" s="5521" t="s">
        <v>2544</v>
      </c>
      <c r="F185" s="5521" t="s">
        <v>2285</v>
      </c>
      <c r="G185" s="5521" t="s">
        <v>2545</v>
      </c>
      <c r="H185" s="5521" t="s">
        <v>28</v>
      </c>
      <c r="I185" s="5521" t="s">
        <v>918</v>
      </c>
    </row>
    <row customHeight="1" ht="11.25">
      <c r="A186" s="5521" t="s">
        <v>2259</v>
      </c>
      <c r="B186" s="5521" t="s">
        <v>16</v>
      </c>
      <c r="C186" s="5521" t="s">
        <v>2550</v>
      </c>
      <c r="D186" s="5521" t="s">
        <v>2551</v>
      </c>
      <c r="E186" s="5521" t="s">
        <v>2552</v>
      </c>
      <c r="F186" s="5521" t="s">
        <v>2482</v>
      </c>
      <c r="G186" s="5521" t="s">
        <v>28</v>
      </c>
      <c r="H186" s="5521" t="s">
        <v>28</v>
      </c>
      <c r="I186" s="5521" t="s">
        <v>918</v>
      </c>
    </row>
    <row customHeight="1" ht="11.25">
      <c r="A187" s="5521" t="s">
        <v>2259</v>
      </c>
      <c r="B187" s="5521" t="s">
        <v>16</v>
      </c>
      <c r="C187" s="5521" t="s">
        <v>2553</v>
      </c>
      <c r="D187" s="5521" t="s">
        <v>2554</v>
      </c>
      <c r="E187" s="5521" t="s">
        <v>2555</v>
      </c>
      <c r="F187" s="5521" t="s">
        <v>51</v>
      </c>
      <c r="G187" s="5521" t="s">
        <v>28</v>
      </c>
      <c r="H187" s="5521" t="s">
        <v>28</v>
      </c>
      <c r="I187" s="5521" t="s">
        <v>918</v>
      </c>
    </row>
    <row customHeight="1" ht="11.25">
      <c r="A188" s="5521" t="s">
        <v>2259</v>
      </c>
      <c r="B188" s="5521" t="s">
        <v>16</v>
      </c>
      <c r="C188" s="5521" t="s">
        <v>2556</v>
      </c>
      <c r="D188" s="5521" t="s">
        <v>2557</v>
      </c>
      <c r="E188" s="5521" t="s">
        <v>2558</v>
      </c>
      <c r="F188" s="5521" t="s">
        <v>2506</v>
      </c>
      <c r="G188" s="5521" t="s">
        <v>2559</v>
      </c>
      <c r="H188" s="5521" t="s">
        <v>28</v>
      </c>
      <c r="I188" s="5521" t="s">
        <v>918</v>
      </c>
    </row>
    <row customHeight="1" ht="11.25">
      <c r="A189" s="5521" t="s">
        <v>2259</v>
      </c>
      <c r="B189" s="5521" t="s">
        <v>16</v>
      </c>
      <c r="C189" s="5521" t="s">
        <v>2568</v>
      </c>
      <c r="D189" s="5521" t="s">
        <v>2569</v>
      </c>
      <c r="E189" s="5521" t="s">
        <v>2570</v>
      </c>
      <c r="F189" s="5521" t="s">
        <v>2571</v>
      </c>
      <c r="G189" s="5521" t="s">
        <v>28</v>
      </c>
      <c r="H189" s="5521" t="s">
        <v>28</v>
      </c>
      <c r="I189" s="5521" t="s">
        <v>918</v>
      </c>
    </row>
    <row customHeight="1" ht="11.25">
      <c r="A190" s="5521" t="s">
        <v>2259</v>
      </c>
      <c r="B190" s="5521" t="s">
        <v>16</v>
      </c>
      <c r="C190" s="5521" t="s">
        <v>2572</v>
      </c>
      <c r="D190" s="5521" t="s">
        <v>2573</v>
      </c>
      <c r="E190" s="5521" t="s">
        <v>2574</v>
      </c>
      <c r="F190" s="5521" t="s">
        <v>2350</v>
      </c>
      <c r="G190" s="5521" t="s">
        <v>2575</v>
      </c>
      <c r="H190" s="5521" t="s">
        <v>28</v>
      </c>
      <c r="I190" s="5521" t="s">
        <v>918</v>
      </c>
    </row>
    <row customHeight="1" ht="11.25">
      <c r="A191" s="5521" t="s">
        <v>2259</v>
      </c>
      <c r="B191" s="5521" t="s">
        <v>16</v>
      </c>
      <c r="C191" s="5521" t="s">
        <v>2576</v>
      </c>
      <c r="D191" s="5521" t="s">
        <v>2577</v>
      </c>
      <c r="E191" s="5521" t="s">
        <v>2578</v>
      </c>
      <c r="F191" s="5521" t="s">
        <v>2323</v>
      </c>
      <c r="G191" s="5521" t="s">
        <v>28</v>
      </c>
      <c r="H191" s="5521" t="s">
        <v>28</v>
      </c>
      <c r="I191" s="5521" t="s">
        <v>918</v>
      </c>
    </row>
    <row customHeight="1" ht="11.25">
      <c r="A192" s="5521" t="s">
        <v>2259</v>
      </c>
      <c r="B192" s="5521" t="s">
        <v>16</v>
      </c>
      <c r="C192" s="5521" t="s">
        <v>2685</v>
      </c>
      <c r="D192" s="5521" t="s">
        <v>2686</v>
      </c>
      <c r="E192" s="5521" t="s">
        <v>2687</v>
      </c>
      <c r="F192" s="5521" t="s">
        <v>2300</v>
      </c>
      <c r="G192" s="5521" t="s">
        <v>2354</v>
      </c>
      <c r="H192" s="5521" t="s">
        <v>28</v>
      </c>
      <c r="I192" s="5521" t="s">
        <v>918</v>
      </c>
    </row>
    <row customHeight="1" ht="11.25">
      <c r="A193" s="5521" t="s">
        <v>2259</v>
      </c>
      <c r="B193" s="5521" t="s">
        <v>16</v>
      </c>
      <c r="C193" s="5521" t="s">
        <v>2582</v>
      </c>
      <c r="D193" s="5521" t="s">
        <v>2583</v>
      </c>
      <c r="E193" s="5521" t="s">
        <v>2584</v>
      </c>
      <c r="F193" s="5521" t="s">
        <v>2285</v>
      </c>
      <c r="G193" s="5521" t="s">
        <v>2585</v>
      </c>
      <c r="H193" s="5521" t="s">
        <v>28</v>
      </c>
      <c r="I193" s="5521" t="s">
        <v>918</v>
      </c>
    </row>
    <row customHeight="1" ht="11.25">
      <c r="A194" s="5521" t="s">
        <v>2259</v>
      </c>
      <c r="B194" s="5521" t="s">
        <v>16</v>
      </c>
      <c r="C194" s="5521" t="s">
        <v>2586</v>
      </c>
      <c r="D194" s="5521" t="s">
        <v>2587</v>
      </c>
      <c r="E194" s="5521" t="s">
        <v>2588</v>
      </c>
      <c r="F194" s="5521" t="s">
        <v>2506</v>
      </c>
      <c r="G194" s="5521" t="s">
        <v>2589</v>
      </c>
      <c r="H194" s="5521" t="s">
        <v>28</v>
      </c>
      <c r="I194" s="5521" t="s">
        <v>918</v>
      </c>
    </row>
    <row customHeight="1" ht="11.25">
      <c r="A195" s="5521" t="s">
        <v>2259</v>
      </c>
      <c r="B195" s="5521" t="s">
        <v>16</v>
      </c>
      <c r="C195" s="5521" t="s">
        <v>2590</v>
      </c>
      <c r="D195" s="5521" t="s">
        <v>2591</v>
      </c>
      <c r="E195" s="5521" t="s">
        <v>2592</v>
      </c>
      <c r="F195" s="5521" t="s">
        <v>2506</v>
      </c>
      <c r="G195" s="5521" t="s">
        <v>2593</v>
      </c>
      <c r="H195" s="5521" t="s">
        <v>28</v>
      </c>
      <c r="I195" s="5521" t="s">
        <v>918</v>
      </c>
    </row>
    <row customHeight="1" ht="11.25">
      <c r="A196" s="5521" t="s">
        <v>2259</v>
      </c>
      <c r="B196" s="5521" t="s">
        <v>16</v>
      </c>
      <c r="C196" s="5521" t="s">
        <v>2594</v>
      </c>
      <c r="D196" s="5521" t="s">
        <v>2595</v>
      </c>
      <c r="E196" s="5521" t="s">
        <v>2596</v>
      </c>
      <c r="F196" s="5521" t="s">
        <v>2571</v>
      </c>
      <c r="G196" s="5521" t="s">
        <v>28</v>
      </c>
      <c r="H196" s="5521" t="s">
        <v>28</v>
      </c>
      <c r="I196" s="5521" t="s">
        <v>918</v>
      </c>
    </row>
    <row customHeight="1" ht="11.25">
      <c r="A197" s="5521" t="s">
        <v>2259</v>
      </c>
      <c r="B197" s="5521" t="s">
        <v>16</v>
      </c>
      <c r="C197" s="5521" t="s">
        <v>2605</v>
      </c>
      <c r="D197" s="5521" t="s">
        <v>2606</v>
      </c>
      <c r="E197" s="5521" t="s">
        <v>2607</v>
      </c>
      <c r="F197" s="5521" t="s">
        <v>2608</v>
      </c>
      <c r="G197" s="5521" t="s">
        <v>28</v>
      </c>
      <c r="H197" s="5521" t="s">
        <v>28</v>
      </c>
      <c r="I197" s="5521" t="s">
        <v>918</v>
      </c>
    </row>
    <row customHeight="1" ht="11.25">
      <c r="A198" s="5521" t="s">
        <v>2259</v>
      </c>
      <c r="B198" s="5521" t="s">
        <v>16</v>
      </c>
      <c r="C198" s="5521" t="s">
        <v>2609</v>
      </c>
      <c r="D198" s="5521" t="s">
        <v>2610</v>
      </c>
      <c r="E198" s="5521" t="s">
        <v>2611</v>
      </c>
      <c r="F198" s="5521" t="s">
        <v>2272</v>
      </c>
      <c r="G198" s="5521" t="s">
        <v>2612</v>
      </c>
      <c r="H198" s="5521" t="s">
        <v>28</v>
      </c>
      <c r="I198" s="5521" t="s">
        <v>918</v>
      </c>
    </row>
    <row customHeight="1" ht="11.25">
      <c r="A199" s="5521" t="s">
        <v>2259</v>
      </c>
      <c r="B199" s="5521" t="s">
        <v>16</v>
      </c>
      <c r="C199" s="5521" t="s">
        <v>2613</v>
      </c>
      <c r="D199" s="5521" t="s">
        <v>2614</v>
      </c>
      <c r="E199" s="5521" t="s">
        <v>2615</v>
      </c>
      <c r="F199" s="5521" t="s">
        <v>2482</v>
      </c>
      <c r="G199" s="5521" t="s">
        <v>28</v>
      </c>
      <c r="H199" s="5521" t="s">
        <v>28</v>
      </c>
      <c r="I199" s="5521" t="s">
        <v>918</v>
      </c>
    </row>
    <row customHeight="1" ht="11.25">
      <c r="A200" s="5521" t="s">
        <v>2259</v>
      </c>
      <c r="B200" s="5521" t="s">
        <v>16</v>
      </c>
      <c r="C200" s="5521" t="s">
        <v>2379</v>
      </c>
      <c r="D200" s="5521" t="s">
        <v>2380</v>
      </c>
      <c r="E200" s="5521" t="s">
        <v>2381</v>
      </c>
      <c r="F200" s="5521" t="s">
        <v>2285</v>
      </c>
      <c r="G200" s="5521" t="s">
        <v>28</v>
      </c>
      <c r="H200" s="5521" t="s">
        <v>28</v>
      </c>
      <c r="I200" s="5521" t="s">
        <v>918</v>
      </c>
    </row>
    <row customHeight="1" ht="11.25">
      <c r="A201" s="5521" t="s">
        <v>2259</v>
      </c>
      <c r="B201" s="5521" t="s">
        <v>16</v>
      </c>
      <c r="C201" s="5521" t="s">
        <v>2382</v>
      </c>
      <c r="D201" s="5521" t="s">
        <v>2383</v>
      </c>
      <c r="E201" s="5521" t="s">
        <v>2384</v>
      </c>
      <c r="F201" s="5521" t="s">
        <v>2285</v>
      </c>
      <c r="G201" s="5521" t="s">
        <v>28</v>
      </c>
      <c r="H201" s="5521" t="s">
        <v>28</v>
      </c>
      <c r="I201" s="5521" t="s">
        <v>918</v>
      </c>
    </row>
    <row customHeight="1" ht="11.25">
      <c r="A202" s="5521" t="s">
        <v>2259</v>
      </c>
      <c r="B202" s="5521" t="s">
        <v>16</v>
      </c>
      <c r="C202" s="5521" t="s">
        <v>2688</v>
      </c>
      <c r="D202" s="5521" t="s">
        <v>2689</v>
      </c>
      <c r="E202" s="5521" t="s">
        <v>2690</v>
      </c>
      <c r="F202" s="5521" t="s">
        <v>2482</v>
      </c>
      <c r="G202" s="5521" t="s">
        <v>2691</v>
      </c>
      <c r="H202" s="5521" t="s">
        <v>28</v>
      </c>
      <c r="I202" s="5521" t="s">
        <v>918</v>
      </c>
    </row>
    <row customHeight="1" ht="11.25">
      <c r="A203" s="5521" t="s">
        <v>2259</v>
      </c>
      <c r="B203" s="5521" t="s">
        <v>16</v>
      </c>
      <c r="C203" s="5521" t="s">
        <v>2622</v>
      </c>
      <c r="D203" s="5521" t="s">
        <v>2623</v>
      </c>
      <c r="E203" s="5521" t="s">
        <v>2624</v>
      </c>
      <c r="F203" s="5521" t="s">
        <v>2625</v>
      </c>
      <c r="G203" s="5521" t="s">
        <v>2626</v>
      </c>
      <c r="H203" s="5521" t="s">
        <v>28</v>
      </c>
      <c r="I203" s="5521" t="s">
        <v>918</v>
      </c>
    </row>
    <row customHeight="1" ht="11.25">
      <c r="A204" s="5521" t="s">
        <v>2259</v>
      </c>
      <c r="B204" s="5521" t="s">
        <v>16</v>
      </c>
      <c r="C204" s="5521" t="s">
        <v>2692</v>
      </c>
      <c r="D204" s="5521" t="s">
        <v>2693</v>
      </c>
      <c r="E204" s="5521" t="s">
        <v>2694</v>
      </c>
      <c r="F204" s="5521" t="s">
        <v>2404</v>
      </c>
      <c r="G204" s="5521" t="s">
        <v>28</v>
      </c>
      <c r="H204" s="5521" t="s">
        <v>28</v>
      </c>
      <c r="I204" s="5521" t="s">
        <v>918</v>
      </c>
    </row>
    <row customHeight="1" ht="11.25">
      <c r="A205" s="5521" t="s">
        <v>2259</v>
      </c>
      <c r="B205" s="5521" t="s">
        <v>16</v>
      </c>
      <c r="C205" s="5521" t="s">
        <v>2645</v>
      </c>
      <c r="D205" s="5521" t="s">
        <v>2646</v>
      </c>
      <c r="E205" s="5521" t="s">
        <v>2647</v>
      </c>
      <c r="F205" s="5521" t="s">
        <v>2482</v>
      </c>
      <c r="G205" s="5521" t="s">
        <v>28</v>
      </c>
      <c r="H205" s="5521" t="s">
        <v>28</v>
      </c>
      <c r="I205" s="5521" t="s">
        <v>918</v>
      </c>
    </row>
    <row customHeight="1" ht="11.25">
      <c r="A206" s="5521" t="s">
        <v>2259</v>
      </c>
      <c r="B206" s="5521" t="s">
        <v>16</v>
      </c>
      <c r="C206" s="5521" t="s">
        <v>2405</v>
      </c>
      <c r="D206" s="5521" t="s">
        <v>2406</v>
      </c>
      <c r="E206" s="5521" t="s">
        <v>2407</v>
      </c>
      <c r="F206" s="5521" t="s">
        <v>2285</v>
      </c>
      <c r="G206" s="5521" t="s">
        <v>28</v>
      </c>
      <c r="H206" s="5521" t="s">
        <v>28</v>
      </c>
      <c r="I206" s="5521" t="s">
        <v>918</v>
      </c>
    </row>
    <row customHeight="1" ht="11.25">
      <c r="A207" s="5521" t="s">
        <v>2259</v>
      </c>
      <c r="B207" s="5521" t="s">
        <v>16</v>
      </c>
      <c r="C207" s="5521" t="s">
        <v>2652</v>
      </c>
      <c r="D207" s="5521" t="s">
        <v>2653</v>
      </c>
      <c r="E207" s="5521" t="s">
        <v>2654</v>
      </c>
      <c r="F207" s="5521" t="s">
        <v>2285</v>
      </c>
      <c r="G207" s="5521" t="s">
        <v>28</v>
      </c>
      <c r="H207" s="5521" t="s">
        <v>28</v>
      </c>
      <c r="I207" s="5521" t="s">
        <v>918</v>
      </c>
    </row>
    <row customHeight="1" ht="11.25">
      <c r="A208" s="5521" t="s">
        <v>2259</v>
      </c>
      <c r="B208" s="5521" t="s">
        <v>16</v>
      </c>
      <c r="C208" s="5521" t="s">
        <v>2422</v>
      </c>
      <c r="D208" s="5521" t="s">
        <v>2423</v>
      </c>
      <c r="E208" s="5521" t="s">
        <v>2424</v>
      </c>
      <c r="F208" s="5521" t="s">
        <v>2425</v>
      </c>
      <c r="G208" s="5521" t="s">
        <v>28</v>
      </c>
      <c r="H208" s="5521" t="s">
        <v>28</v>
      </c>
      <c r="I208" s="5521" t="s">
        <v>918</v>
      </c>
    </row>
    <row customHeight="1" ht="11.25">
      <c r="A209" s="5521" t="s">
        <v>2259</v>
      </c>
      <c r="B209" s="5521" t="s">
        <v>16</v>
      </c>
      <c r="C209" s="5521" t="s">
        <v>2663</v>
      </c>
      <c r="D209" s="5521" t="s">
        <v>2664</v>
      </c>
      <c r="E209" s="5521" t="s">
        <v>2665</v>
      </c>
      <c r="F209" s="5521" t="s">
        <v>51</v>
      </c>
      <c r="G209" s="5521" t="s">
        <v>2666</v>
      </c>
      <c r="H209" s="5521" t="s">
        <v>28</v>
      </c>
      <c r="I209" s="5521" t="s">
        <v>918</v>
      </c>
    </row>
    <row customHeight="1" ht="11.25">
      <c r="A210" s="5521" t="s">
        <v>2259</v>
      </c>
      <c r="B210" s="5521" t="s">
        <v>16</v>
      </c>
      <c r="C210" s="5521" t="s">
        <v>2667</v>
      </c>
      <c r="D210" s="5521" t="s">
        <v>2668</v>
      </c>
      <c r="E210" s="5521" t="s">
        <v>2669</v>
      </c>
      <c r="F210" s="5521" t="s">
        <v>2571</v>
      </c>
      <c r="G210" s="5521" t="s">
        <v>28</v>
      </c>
      <c r="H210" s="5521" t="s">
        <v>28</v>
      </c>
      <c r="I210" s="5521" t="s">
        <v>918</v>
      </c>
    </row>
    <row customHeight="1" ht="11.25">
      <c r="A211" s="5521" t="s">
        <v>2259</v>
      </c>
      <c r="B211" s="5521" t="s">
        <v>16</v>
      </c>
      <c r="C211" s="5521" t="s">
        <v>2433</v>
      </c>
      <c r="D211" s="5521" t="s">
        <v>2434</v>
      </c>
      <c r="E211" s="5521" t="s">
        <v>2435</v>
      </c>
      <c r="F211" s="5521" t="s">
        <v>2295</v>
      </c>
      <c r="G211" s="5521" t="s">
        <v>2436</v>
      </c>
      <c r="H211" s="5521" t="s">
        <v>28</v>
      </c>
      <c r="I211" s="5521" t="s">
        <v>918</v>
      </c>
    </row>
    <row customHeight="1" ht="11.25">
      <c r="A212" s="5521" t="s">
        <v>2259</v>
      </c>
      <c r="B212" s="5521" t="s">
        <v>16</v>
      </c>
      <c r="C212" s="5521" t="s">
        <v>2440</v>
      </c>
      <c r="D212" s="5521" t="s">
        <v>2441</v>
      </c>
      <c r="E212" s="5521" t="s">
        <v>2442</v>
      </c>
      <c r="F212" s="5521" t="s">
        <v>2443</v>
      </c>
      <c r="G212" s="5521" t="s">
        <v>28</v>
      </c>
      <c r="H212" s="5521" t="s">
        <v>28</v>
      </c>
      <c r="I212" s="5521" t="s">
        <v>918</v>
      </c>
    </row>
    <row customHeight="1" ht="11.25">
      <c r="A213" s="5521" t="s">
        <v>2259</v>
      </c>
      <c r="B213" s="5521" t="s">
        <v>16</v>
      </c>
      <c r="C213" s="5521" t="s">
        <v>2447</v>
      </c>
      <c r="D213" s="5521" t="s">
        <v>2448</v>
      </c>
      <c r="E213" s="5521" t="s">
        <v>2449</v>
      </c>
      <c r="F213" s="5521" t="s">
        <v>51</v>
      </c>
      <c r="G213" s="5521" t="s">
        <v>2450</v>
      </c>
      <c r="H213" s="5521" t="s">
        <v>28</v>
      </c>
      <c r="I213" s="5521" t="s">
        <v>918</v>
      </c>
    </row>
    <row customHeight="1" ht="11.25">
      <c r="A214" s="5521" t="s">
        <v>2259</v>
      </c>
      <c r="B214" s="5521" t="s">
        <v>16</v>
      </c>
      <c r="C214" s="5521" t="s">
        <v>2451</v>
      </c>
      <c r="D214" s="5521" t="s">
        <v>2452</v>
      </c>
      <c r="E214" s="5521" t="s">
        <v>2453</v>
      </c>
      <c r="F214" s="5521" t="s">
        <v>51</v>
      </c>
      <c r="G214" s="5521" t="s">
        <v>2454</v>
      </c>
      <c r="H214" s="5521" t="s">
        <v>28</v>
      </c>
      <c r="I214" s="5521" t="s">
        <v>918</v>
      </c>
    </row>
    <row customHeight="1" ht="11.25">
      <c r="A215" s="5521" t="s">
        <v>2259</v>
      </c>
      <c r="B215" s="5521" t="s">
        <v>16</v>
      </c>
      <c r="C215" s="5521" t="s">
        <v>2677</v>
      </c>
      <c r="D215" s="5521" t="s">
        <v>2678</v>
      </c>
      <c r="E215" s="5521" t="s">
        <v>2679</v>
      </c>
      <c r="F215" s="5521" t="s">
        <v>2285</v>
      </c>
      <c r="G215" s="5521" t="s">
        <v>2680</v>
      </c>
      <c r="H215" s="5521" t="s">
        <v>28</v>
      </c>
      <c r="I215" s="5521" t="s">
        <v>918</v>
      </c>
    </row>
    <row customHeight="1" ht="11.25">
      <c r="A216" s="5521" t="s">
        <v>2259</v>
      </c>
      <c r="B216" s="5521" t="s">
        <v>16</v>
      </c>
      <c r="C216" s="5521" t="s">
        <v>2463</v>
      </c>
      <c r="D216" s="5521" t="s">
        <v>2464</v>
      </c>
      <c r="E216" s="5521" t="s">
        <v>2465</v>
      </c>
      <c r="F216" s="5521" t="s">
        <v>2466</v>
      </c>
      <c r="G216" s="5521" t="s">
        <v>2467</v>
      </c>
      <c r="H216" s="5521" t="s">
        <v>28</v>
      </c>
      <c r="I216" s="5521" t="s">
        <v>918</v>
      </c>
    </row>
    <row customHeight="1" ht="11.25">
      <c r="A217" s="5521" t="s">
        <v>2259</v>
      </c>
      <c r="B217" s="5521" t="s">
        <v>16</v>
      </c>
      <c r="C217" s="5521" t="s">
        <v>2681</v>
      </c>
      <c r="D217" s="5521" t="s">
        <v>2682</v>
      </c>
      <c r="E217" s="5521" t="s">
        <v>2465</v>
      </c>
      <c r="F217" s="5521" t="s">
        <v>2683</v>
      </c>
      <c r="G217" s="5521" t="s">
        <v>2684</v>
      </c>
      <c r="H217" s="5521" t="s">
        <v>28</v>
      </c>
      <c r="I217" s="5521" t="s">
        <v>918</v>
      </c>
    </row>
    <row customHeight="1" ht="11.25">
      <c r="A218" s="5521" t="s">
        <v>2259</v>
      </c>
      <c r="B218" s="5521" t="s">
        <v>16</v>
      </c>
      <c r="C218" s="5521" t="s">
        <v>2695</v>
      </c>
      <c r="D218" s="5521" t="s">
        <v>2696</v>
      </c>
      <c r="E218" s="5521" t="s">
        <v>2697</v>
      </c>
      <c r="F218" s="5521" t="s">
        <v>587</v>
      </c>
      <c r="G218" s="5521" t="s">
        <v>28</v>
      </c>
      <c r="H218" s="5521" t="s">
        <v>28</v>
      </c>
      <c r="I218" s="5521" t="s">
        <v>1631</v>
      </c>
    </row>
    <row customHeight="1" ht="11.25">
      <c r="A219" s="5521" t="s">
        <v>2259</v>
      </c>
      <c r="B219" s="5521" t="s">
        <v>16</v>
      </c>
      <c r="C219" s="5521" t="s">
        <v>2698</v>
      </c>
      <c r="D219" s="5521" t="s">
        <v>2699</v>
      </c>
      <c r="E219" s="5521" t="s">
        <v>2700</v>
      </c>
      <c r="F219" s="5521" t="s">
        <v>587</v>
      </c>
      <c r="G219" s="5521" t="s">
        <v>28</v>
      </c>
      <c r="H219" s="5521" t="s">
        <v>28</v>
      </c>
      <c r="I219" s="5521" t="s">
        <v>1631</v>
      </c>
    </row>
    <row customHeight="1" ht="11.25">
      <c r="A220" s="5521" t="s">
        <v>2259</v>
      </c>
      <c r="B220" s="5521" t="s">
        <v>16</v>
      </c>
      <c r="C220" s="5521" t="s">
        <v>2701</v>
      </c>
      <c r="D220" s="5521" t="s">
        <v>2702</v>
      </c>
      <c r="E220" s="5521" t="s">
        <v>2703</v>
      </c>
      <c r="F220" s="5521" t="s">
        <v>587</v>
      </c>
      <c r="G220" s="5521" t="s">
        <v>2704</v>
      </c>
      <c r="H220" s="5521" t="s">
        <v>28</v>
      </c>
      <c r="I220" s="5521" t="s">
        <v>1631</v>
      </c>
    </row>
    <row customHeight="1" ht="11.25">
      <c r="A221" s="5521" t="s">
        <v>2259</v>
      </c>
      <c r="B221" s="5521" t="s">
        <v>16</v>
      </c>
      <c r="C221" s="5521" t="s">
        <v>28</v>
      </c>
      <c r="D221" s="5521" t="s">
        <v>2290</v>
      </c>
      <c r="E221" s="5521" t="s">
        <v>2291</v>
      </c>
      <c r="F221" s="5521" t="s">
        <v>51</v>
      </c>
      <c r="G221" s="5521" t="s">
        <v>28</v>
      </c>
      <c r="H221" s="5521" t="s">
        <v>28</v>
      </c>
      <c r="I221" s="5521" t="s">
        <v>1631</v>
      </c>
    </row>
    <row customHeight="1" ht="11.25">
      <c r="A222" s="5521" t="s">
        <v>2259</v>
      </c>
      <c r="B222" s="5521" t="s">
        <v>16</v>
      </c>
      <c r="C222" s="5521" t="s">
        <v>2292</v>
      </c>
      <c r="D222" s="5521" t="s">
        <v>2293</v>
      </c>
      <c r="E222" s="5521" t="s">
        <v>2294</v>
      </c>
      <c r="F222" s="5521" t="s">
        <v>2295</v>
      </c>
      <c r="G222" s="5521" t="s">
        <v>2296</v>
      </c>
      <c r="H222" s="5521" t="s">
        <v>28</v>
      </c>
      <c r="I222" s="5521" t="s">
        <v>1631</v>
      </c>
    </row>
    <row customHeight="1" ht="11.25">
      <c r="A223" s="5521" t="s">
        <v>2259</v>
      </c>
      <c r="B223" s="5521" t="s">
        <v>16</v>
      </c>
      <c r="C223" s="5521" t="s">
        <v>2315</v>
      </c>
      <c r="D223" s="5521" t="s">
        <v>2316</v>
      </c>
      <c r="E223" s="5521" t="s">
        <v>2317</v>
      </c>
      <c r="F223" s="5521" t="s">
        <v>2318</v>
      </c>
      <c r="G223" s="5521" t="s">
        <v>2319</v>
      </c>
      <c r="H223" s="5521" t="s">
        <v>28</v>
      </c>
      <c r="I223" s="5521" t="s">
        <v>1631</v>
      </c>
    </row>
    <row customHeight="1" ht="11.25">
      <c r="A224" s="5521" t="s">
        <v>2259</v>
      </c>
      <c r="B224" s="5521" t="s">
        <v>16</v>
      </c>
      <c r="C224" s="5521" t="s">
        <v>2320</v>
      </c>
      <c r="D224" s="5521" t="s">
        <v>2321</v>
      </c>
      <c r="E224" s="5521" t="s">
        <v>2322</v>
      </c>
      <c r="F224" s="5521" t="s">
        <v>2323</v>
      </c>
      <c r="G224" s="5521" t="s">
        <v>28</v>
      </c>
      <c r="H224" s="5521" t="s">
        <v>28</v>
      </c>
      <c r="I224" s="5521" t="s">
        <v>1631</v>
      </c>
    </row>
    <row customHeight="1" ht="11.25">
      <c r="A225" s="5521" t="s">
        <v>2259</v>
      </c>
      <c r="B225" s="5521" t="s">
        <v>16</v>
      </c>
      <c r="C225" s="5521" t="s">
        <v>2705</v>
      </c>
      <c r="D225" s="5521" t="s">
        <v>2706</v>
      </c>
      <c r="E225" s="5521" t="s">
        <v>2707</v>
      </c>
      <c r="F225" s="5521" t="s">
        <v>2338</v>
      </c>
      <c r="G225" s="5521" t="s">
        <v>28</v>
      </c>
      <c r="H225" s="5521" t="s">
        <v>28</v>
      </c>
      <c r="I225" s="5521" t="s">
        <v>1631</v>
      </c>
    </row>
    <row customHeight="1" ht="11.25">
      <c r="A226" s="5521" t="s">
        <v>2259</v>
      </c>
      <c r="B226" s="5521" t="s">
        <v>16</v>
      </c>
      <c r="C226" s="5521" t="s">
        <v>2708</v>
      </c>
      <c r="D226" s="5521" t="s">
        <v>2709</v>
      </c>
      <c r="E226" s="5521" t="s">
        <v>2710</v>
      </c>
      <c r="F226" s="5521" t="s">
        <v>51</v>
      </c>
      <c r="G226" s="5521" t="s">
        <v>2711</v>
      </c>
      <c r="H226" s="5521" t="s">
        <v>28</v>
      </c>
      <c r="I226" s="5521" t="s">
        <v>1631</v>
      </c>
    </row>
    <row customHeight="1" ht="11.25">
      <c r="A227" s="5521" t="s">
        <v>2259</v>
      </c>
      <c r="B227" s="5521" t="s">
        <v>16</v>
      </c>
      <c r="C227" s="5521" t="s">
        <v>2359</v>
      </c>
      <c r="D227" s="5521" t="s">
        <v>2360</v>
      </c>
      <c r="E227" s="5521" t="s">
        <v>2361</v>
      </c>
      <c r="F227" s="5521" t="s">
        <v>2362</v>
      </c>
      <c r="G227" s="5521" t="s">
        <v>28</v>
      </c>
      <c r="H227" s="5521" t="s">
        <v>28</v>
      </c>
      <c r="I227" s="5521" t="s">
        <v>1631</v>
      </c>
    </row>
    <row customHeight="1" ht="11.25">
      <c r="A228" s="5521" t="s">
        <v>2259</v>
      </c>
      <c r="B228" s="5521" t="s">
        <v>16</v>
      </c>
      <c r="C228" s="5521" t="s">
        <v>2363</v>
      </c>
      <c r="D228" s="5521" t="s">
        <v>2364</v>
      </c>
      <c r="E228" s="5521" t="s">
        <v>2365</v>
      </c>
      <c r="F228" s="5521" t="s">
        <v>2366</v>
      </c>
      <c r="G228" s="5521" t="s">
        <v>2367</v>
      </c>
      <c r="H228" s="5521" t="s">
        <v>28</v>
      </c>
      <c r="I228" s="5521" t="s">
        <v>1631</v>
      </c>
    </row>
    <row customHeight="1" ht="11.25">
      <c r="A229" s="5521" t="s">
        <v>2259</v>
      </c>
      <c r="B229" s="5521" t="s">
        <v>16</v>
      </c>
      <c r="C229" s="5521" t="s">
        <v>2712</v>
      </c>
      <c r="D229" s="5521" t="s">
        <v>2713</v>
      </c>
      <c r="E229" s="5521" t="s">
        <v>2714</v>
      </c>
      <c r="F229" s="5521" t="s">
        <v>2304</v>
      </c>
      <c r="G229" s="5521" t="s">
        <v>28</v>
      </c>
      <c r="H229" s="5521" t="s">
        <v>28</v>
      </c>
      <c r="I229" s="5521" t="s">
        <v>1631</v>
      </c>
    </row>
    <row customHeight="1" ht="11.25">
      <c r="A230" s="5521" t="s">
        <v>2259</v>
      </c>
      <c r="B230" s="5521" t="s">
        <v>16</v>
      </c>
      <c r="C230" s="5521" t="s">
        <v>2715</v>
      </c>
      <c r="D230" s="5521" t="s">
        <v>2716</v>
      </c>
      <c r="E230" s="5521" t="s">
        <v>2717</v>
      </c>
      <c r="F230" s="5521" t="s">
        <v>2272</v>
      </c>
      <c r="G230" s="5521" t="s">
        <v>2718</v>
      </c>
      <c r="H230" s="5521" t="s">
        <v>28</v>
      </c>
      <c r="I230" s="5521" t="s">
        <v>1631</v>
      </c>
    </row>
    <row customHeight="1" ht="11.25">
      <c r="A231" s="5521" t="s">
        <v>2259</v>
      </c>
      <c r="B231" s="5521" t="s">
        <v>16</v>
      </c>
      <c r="C231" s="5521" t="s">
        <v>2719</v>
      </c>
      <c r="D231" s="5521" t="s">
        <v>2720</v>
      </c>
      <c r="E231" s="5521" t="s">
        <v>2721</v>
      </c>
      <c r="F231" s="5521" t="s">
        <v>2300</v>
      </c>
      <c r="G231" s="5521" t="s">
        <v>2354</v>
      </c>
      <c r="H231" s="5521" t="s">
        <v>28</v>
      </c>
      <c r="I231" s="5521" t="s">
        <v>1631</v>
      </c>
    </row>
    <row customHeight="1" ht="11.25">
      <c r="A232" s="5521" t="s">
        <v>2259</v>
      </c>
      <c r="B232" s="5521" t="s">
        <v>16</v>
      </c>
      <c r="C232" s="5521" t="s">
        <v>2630</v>
      </c>
      <c r="D232" s="5521" t="s">
        <v>2631</v>
      </c>
      <c r="E232" s="5521" t="s">
        <v>2632</v>
      </c>
      <c r="F232" s="5521" t="s">
        <v>2350</v>
      </c>
      <c r="G232" s="5521" t="s">
        <v>2633</v>
      </c>
      <c r="H232" s="5521" t="s">
        <v>28</v>
      </c>
      <c r="I232" s="5521" t="s">
        <v>1631</v>
      </c>
    </row>
    <row customHeight="1" ht="11.25">
      <c r="A233" s="5521" t="s">
        <v>2259</v>
      </c>
      <c r="B233" s="5521" t="s">
        <v>16</v>
      </c>
      <c r="C233" s="5521" t="s">
        <v>2722</v>
      </c>
      <c r="D233" s="5521" t="s">
        <v>2723</v>
      </c>
      <c r="E233" s="5521" t="s">
        <v>2724</v>
      </c>
      <c r="F233" s="5521" t="s">
        <v>51</v>
      </c>
      <c r="G233" s="5521" t="s">
        <v>28</v>
      </c>
      <c r="H233" s="5521" t="s">
        <v>28</v>
      </c>
      <c r="I233" s="5521" t="s">
        <v>1631</v>
      </c>
    </row>
    <row customHeight="1" ht="11.25">
      <c r="A234" s="5521" t="s">
        <v>2259</v>
      </c>
      <c r="B234" s="5521" t="s">
        <v>16</v>
      </c>
      <c r="C234" s="5521" t="s">
        <v>2725</v>
      </c>
      <c r="D234" s="5521" t="s">
        <v>2723</v>
      </c>
      <c r="E234" s="5521" t="s">
        <v>2726</v>
      </c>
      <c r="F234" s="5521" t="s">
        <v>2404</v>
      </c>
      <c r="G234" s="5521" t="s">
        <v>28</v>
      </c>
      <c r="H234" s="5521" t="s">
        <v>28</v>
      </c>
      <c r="I234" s="5521" t="s">
        <v>1631</v>
      </c>
    </row>
    <row customHeight="1" ht="11.25">
      <c r="A235" s="5521" t="s">
        <v>2259</v>
      </c>
      <c r="B235" s="5521" t="s">
        <v>16</v>
      </c>
      <c r="C235" s="5521" t="s">
        <v>2727</v>
      </c>
      <c r="D235" s="5521" t="s">
        <v>2728</v>
      </c>
      <c r="E235" s="5521" t="s">
        <v>2729</v>
      </c>
      <c r="F235" s="5521" t="s">
        <v>2272</v>
      </c>
      <c r="G235" s="5521" t="s">
        <v>2730</v>
      </c>
      <c r="H235" s="5521" t="s">
        <v>28</v>
      </c>
      <c r="I235" s="552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4AFBA-AD74-C474-08FA-9CDC472012F9}" mc:Ignorable="x14ac xr xr2 xr3">
  <sheetPr>
    <tabColor rgb="FFFFCC99"/>
  </sheetPr>
  <dimension ref="A1:G136"/>
  <sheetViews>
    <sheetView topLeftCell="A1" showGridLines="0" workbookViewId="0">
      <selection activeCell="A1" sqref="A1"/>
    </sheetView>
  </sheetViews>
  <sheetFormatPr customHeight="1" defaultRowHeight="11.25"/>
  <cols>
    <col min="1" max="1" style="9727" width="9.140625"/>
  </cols>
  <sheetData>
    <row customHeight="1" ht="11.25">
      <c r="A1" s="543" t="s">
        <v>2731</v>
      </c>
      <c r="B1" s="232" t="s">
        <v>2732</v>
      </c>
      <c r="C1" s="232" t="s">
        <v>2733</v>
      </c>
      <c r="D1" s="232" t="s">
        <v>2734</v>
      </c>
      <c r="E1" s="119" t="s">
        <v>2735</v>
      </c>
      <c r="F1" s="119" t="s">
        <v>2736</v>
      </c>
      <c r="G1" s="119" t="s">
        <v>2737</v>
      </c>
    </row>
    <row customHeight="1" ht="11.25">
      <c r="A2" s="543" t="s">
        <v>16</v>
      </c>
      <c r="B2" s="0" t="s">
        <v>2738</v>
      </c>
      <c r="C2" s="0" t="s">
        <v>2739</v>
      </c>
      <c r="D2" s="0" t="s">
        <v>2740</v>
      </c>
      <c r="E2" s="0" t="s">
        <v>2741</v>
      </c>
      <c r="F2" s="0" t="s">
        <v>2742</v>
      </c>
      <c r="G2" s="0" t="s">
        <v>108</v>
      </c>
    </row>
    <row customHeight="1" ht="11.25">
      <c r="A3" s="543" t="s">
        <v>16</v>
      </c>
      <c r="B3" s="0" t="s">
        <v>2738</v>
      </c>
      <c r="C3" s="0" t="s">
        <v>2739</v>
      </c>
      <c r="D3" s="0" t="s">
        <v>2738</v>
      </c>
      <c r="E3" s="0" t="s">
        <v>2739</v>
      </c>
      <c r="F3" s="0" t="s">
        <v>2743</v>
      </c>
      <c r="G3" s="0" t="s">
        <v>109</v>
      </c>
    </row>
    <row customHeight="1" ht="11.25">
      <c r="A4" s="543" t="s">
        <v>16</v>
      </c>
      <c r="B4" s="0" t="s">
        <v>2738</v>
      </c>
      <c r="C4" s="0" t="s">
        <v>2739</v>
      </c>
      <c r="D4" s="0" t="s">
        <v>2744</v>
      </c>
      <c r="E4" s="0" t="s">
        <v>2745</v>
      </c>
      <c r="F4" s="0" t="s">
        <v>2742</v>
      </c>
      <c r="G4" s="0" t="s">
        <v>89</v>
      </c>
    </row>
    <row customHeight="1" ht="11.25">
      <c r="A5" s="543" t="s">
        <v>16</v>
      </c>
      <c r="B5" s="0" t="s">
        <v>2738</v>
      </c>
      <c r="C5" s="0" t="s">
        <v>2739</v>
      </c>
      <c r="D5" s="0" t="s">
        <v>2746</v>
      </c>
      <c r="E5" s="0" t="s">
        <v>2747</v>
      </c>
      <c r="F5" s="0" t="s">
        <v>2742</v>
      </c>
      <c r="G5" s="0" t="s">
        <v>90</v>
      </c>
    </row>
    <row customHeight="1" ht="11.25">
      <c r="A6" s="543" t="s">
        <v>16</v>
      </c>
      <c r="B6" s="0" t="s">
        <v>2738</v>
      </c>
      <c r="C6" s="0" t="s">
        <v>2739</v>
      </c>
      <c r="D6" s="0" t="s">
        <v>2748</v>
      </c>
      <c r="E6" s="0" t="s">
        <v>2749</v>
      </c>
      <c r="F6" s="0" t="s">
        <v>2742</v>
      </c>
      <c r="G6" s="0" t="s">
        <v>110</v>
      </c>
    </row>
    <row customHeight="1" ht="11.25">
      <c r="A7" s="543" t="s">
        <v>16</v>
      </c>
      <c r="B7" s="0" t="s">
        <v>2738</v>
      </c>
      <c r="C7" s="0" t="s">
        <v>2739</v>
      </c>
      <c r="D7" s="0" t="s">
        <v>2750</v>
      </c>
      <c r="E7" s="0" t="s">
        <v>2751</v>
      </c>
      <c r="F7" s="0" t="s">
        <v>2742</v>
      </c>
      <c r="G7" s="0" t="s">
        <v>91</v>
      </c>
    </row>
    <row customHeight="1" ht="11.25">
      <c r="A8" s="543" t="s">
        <v>16</v>
      </c>
      <c r="B8" s="0" t="s">
        <v>2738</v>
      </c>
      <c r="C8" s="0" t="s">
        <v>2739</v>
      </c>
      <c r="D8" s="0" t="s">
        <v>2752</v>
      </c>
      <c r="E8" s="0" t="s">
        <v>2753</v>
      </c>
      <c r="F8" s="0" t="s">
        <v>2742</v>
      </c>
      <c r="G8" s="0" t="s">
        <v>92</v>
      </c>
    </row>
    <row customHeight="1" ht="11.25">
      <c r="A9" s="543" t="s">
        <v>16</v>
      </c>
      <c r="B9" s="0" t="s">
        <v>2738</v>
      </c>
      <c r="C9" s="0" t="s">
        <v>2739</v>
      </c>
      <c r="D9" s="0" t="s">
        <v>2754</v>
      </c>
      <c r="E9" s="0" t="s">
        <v>2755</v>
      </c>
      <c r="F9" s="0" t="s">
        <v>2742</v>
      </c>
      <c r="G9" s="0" t="s">
        <v>111</v>
      </c>
    </row>
    <row customHeight="1" ht="11.25">
      <c r="A10" s="543" t="s">
        <v>16</v>
      </c>
      <c r="B10" s="0" t="s">
        <v>2738</v>
      </c>
      <c r="C10" s="0" t="s">
        <v>2739</v>
      </c>
      <c r="D10" s="0" t="s">
        <v>2756</v>
      </c>
      <c r="E10" s="0" t="s">
        <v>2757</v>
      </c>
      <c r="F10" s="0" t="s">
        <v>2758</v>
      </c>
      <c r="G10" s="0" t="s">
        <v>147</v>
      </c>
    </row>
    <row customHeight="1" ht="11.25">
      <c r="A11" s="543" t="s">
        <v>16</v>
      </c>
      <c r="B11" s="0" t="s">
        <v>2759</v>
      </c>
      <c r="C11" s="0" t="s">
        <v>2760</v>
      </c>
      <c r="D11" s="0" t="s">
        <v>2761</v>
      </c>
      <c r="E11" s="0" t="s">
        <v>2762</v>
      </c>
      <c r="F11" s="0" t="s">
        <v>2742</v>
      </c>
      <c r="G11" s="0" t="s">
        <v>148</v>
      </c>
    </row>
    <row customHeight="1" ht="11.25">
      <c r="A12" s="543" t="s">
        <v>16</v>
      </c>
      <c r="B12" s="0" t="s">
        <v>2759</v>
      </c>
      <c r="C12" s="0" t="s">
        <v>2760</v>
      </c>
      <c r="D12" s="0" t="s">
        <v>2759</v>
      </c>
      <c r="E12" s="0" t="s">
        <v>2760</v>
      </c>
      <c r="F12" s="0" t="s">
        <v>2743</v>
      </c>
      <c r="G12" s="0" t="s">
        <v>149</v>
      </c>
    </row>
    <row customHeight="1" ht="11.25">
      <c r="A13" s="543" t="s">
        <v>16</v>
      </c>
      <c r="B13" s="0" t="s">
        <v>2759</v>
      </c>
      <c r="C13" s="0" t="s">
        <v>2760</v>
      </c>
      <c r="D13" s="0" t="s">
        <v>2763</v>
      </c>
      <c r="E13" s="0" t="s">
        <v>2764</v>
      </c>
      <c r="F13" s="0" t="s">
        <v>2742</v>
      </c>
      <c r="G13" s="0" t="s">
        <v>150</v>
      </c>
    </row>
    <row customHeight="1" ht="11.25">
      <c r="A14" s="543" t="s">
        <v>16</v>
      </c>
      <c r="B14" s="0" t="s">
        <v>2759</v>
      </c>
      <c r="C14" s="0" t="s">
        <v>2760</v>
      </c>
      <c r="D14" s="0" t="s">
        <v>2765</v>
      </c>
      <c r="E14" s="0" t="s">
        <v>2766</v>
      </c>
      <c r="F14" s="0" t="s">
        <v>2742</v>
      </c>
      <c r="G14" s="0" t="s">
        <v>151</v>
      </c>
    </row>
    <row customHeight="1" ht="11.25">
      <c r="A15" s="543" t="s">
        <v>16</v>
      </c>
      <c r="B15" s="0" t="s">
        <v>2759</v>
      </c>
      <c r="C15" s="0" t="s">
        <v>2760</v>
      </c>
      <c r="D15" s="0" t="s">
        <v>2767</v>
      </c>
      <c r="E15" s="0" t="s">
        <v>2768</v>
      </c>
      <c r="F15" s="0" t="s">
        <v>2742</v>
      </c>
      <c r="G15" s="0" t="s">
        <v>152</v>
      </c>
    </row>
    <row customHeight="1" ht="11.25">
      <c r="A16" s="543" t="s">
        <v>16</v>
      </c>
      <c r="B16" s="0" t="s">
        <v>2759</v>
      </c>
      <c r="C16" s="0" t="s">
        <v>2760</v>
      </c>
      <c r="D16" s="0" t="s">
        <v>2769</v>
      </c>
      <c r="E16" s="0" t="s">
        <v>2770</v>
      </c>
      <c r="F16" s="0" t="s">
        <v>2742</v>
      </c>
      <c r="G16" s="0" t="s">
        <v>1475</v>
      </c>
    </row>
    <row customHeight="1" ht="11.25">
      <c r="A17" s="543" t="s">
        <v>16</v>
      </c>
      <c r="B17" s="0" t="s">
        <v>2759</v>
      </c>
      <c r="C17" s="0" t="s">
        <v>2760</v>
      </c>
      <c r="D17" s="0" t="s">
        <v>2771</v>
      </c>
      <c r="E17" s="0" t="s">
        <v>2772</v>
      </c>
      <c r="F17" s="0" t="s">
        <v>2742</v>
      </c>
      <c r="G17" s="0" t="s">
        <v>1481</v>
      </c>
    </row>
    <row customHeight="1" ht="11.25">
      <c r="A18" s="543" t="s">
        <v>16</v>
      </c>
      <c r="B18" s="0" t="s">
        <v>2759</v>
      </c>
      <c r="C18" s="0" t="s">
        <v>2760</v>
      </c>
      <c r="D18" s="0" t="s">
        <v>2773</v>
      </c>
      <c r="E18" s="0" t="s">
        <v>2774</v>
      </c>
      <c r="F18" s="0" t="s">
        <v>2742</v>
      </c>
      <c r="G18" s="0" t="s">
        <v>1493</v>
      </c>
    </row>
    <row customHeight="1" ht="11.25">
      <c r="A19" s="543" t="s">
        <v>16</v>
      </c>
      <c r="B19" s="0" t="s">
        <v>2759</v>
      </c>
      <c r="C19" s="0" t="s">
        <v>2760</v>
      </c>
      <c r="D19" s="0" t="s">
        <v>2775</v>
      </c>
      <c r="E19" s="0" t="s">
        <v>2776</v>
      </c>
      <c r="F19" s="0" t="s">
        <v>2742</v>
      </c>
      <c r="G19" s="0" t="s">
        <v>1507</v>
      </c>
    </row>
    <row customHeight="1" ht="11.25">
      <c r="A20" s="543" t="s">
        <v>16</v>
      </c>
      <c r="B20" s="0" t="s">
        <v>2759</v>
      </c>
      <c r="C20" s="0" t="s">
        <v>2760</v>
      </c>
      <c r="D20" s="0" t="s">
        <v>2777</v>
      </c>
      <c r="E20" s="0" t="s">
        <v>2778</v>
      </c>
      <c r="F20" s="0" t="s">
        <v>2742</v>
      </c>
      <c r="G20" s="0" t="s">
        <v>1518</v>
      </c>
    </row>
    <row customHeight="1" ht="11.25">
      <c r="A21" s="543" t="s">
        <v>16</v>
      </c>
      <c r="B21" s="0" t="s">
        <v>2759</v>
      </c>
      <c r="C21" s="0" t="s">
        <v>2760</v>
      </c>
      <c r="D21" s="0" t="s">
        <v>2779</v>
      </c>
      <c r="E21" s="0" t="s">
        <v>2780</v>
      </c>
      <c r="F21" s="0" t="s">
        <v>2742</v>
      </c>
      <c r="G21" s="0" t="s">
        <v>1527</v>
      </c>
    </row>
    <row customHeight="1" ht="11.25">
      <c r="A22" s="543" t="s">
        <v>16</v>
      </c>
      <c r="B22" s="0" t="s">
        <v>2781</v>
      </c>
      <c r="C22" s="0" t="s">
        <v>2782</v>
      </c>
      <c r="D22" s="0" t="s">
        <v>2781</v>
      </c>
      <c r="E22" s="0" t="s">
        <v>2782</v>
      </c>
      <c r="F22" s="0" t="s">
        <v>2743</v>
      </c>
      <c r="G22" s="0" t="s">
        <v>1543</v>
      </c>
    </row>
    <row customHeight="1" ht="11.25">
      <c r="A23" s="543" t="s">
        <v>16</v>
      </c>
      <c r="B23" s="0" t="s">
        <v>2781</v>
      </c>
      <c r="C23" s="0" t="s">
        <v>2782</v>
      </c>
      <c r="D23" s="0" t="s">
        <v>2783</v>
      </c>
      <c r="E23" s="0" t="s">
        <v>2784</v>
      </c>
      <c r="F23" s="0" t="s">
        <v>2742</v>
      </c>
      <c r="G23" s="0" t="s">
        <v>1550</v>
      </c>
    </row>
    <row customHeight="1" ht="11.25">
      <c r="A24" s="543" t="s">
        <v>16</v>
      </c>
      <c r="B24" s="0" t="s">
        <v>2781</v>
      </c>
      <c r="C24" s="0" t="s">
        <v>2782</v>
      </c>
      <c r="D24" s="0" t="s">
        <v>2785</v>
      </c>
      <c r="E24" s="0" t="s">
        <v>2786</v>
      </c>
      <c r="F24" s="0" t="s">
        <v>2742</v>
      </c>
      <c r="G24" s="0" t="s">
        <v>1558</v>
      </c>
    </row>
    <row customHeight="1" ht="11.25">
      <c r="A25" s="543" t="s">
        <v>16</v>
      </c>
      <c r="B25" s="0" t="s">
        <v>2781</v>
      </c>
      <c r="C25" s="0" t="s">
        <v>2782</v>
      </c>
      <c r="D25" s="0" t="s">
        <v>2787</v>
      </c>
      <c r="E25" s="0" t="s">
        <v>2788</v>
      </c>
      <c r="F25" s="0" t="s">
        <v>2742</v>
      </c>
      <c r="G25" s="0" t="s">
        <v>1565</v>
      </c>
    </row>
    <row customHeight="1" ht="11.25">
      <c r="A26" s="543" t="s">
        <v>16</v>
      </c>
      <c r="B26" s="0" t="s">
        <v>2781</v>
      </c>
      <c r="C26" s="0" t="s">
        <v>2782</v>
      </c>
      <c r="D26" s="0" t="s">
        <v>2789</v>
      </c>
      <c r="E26" s="0" t="s">
        <v>2790</v>
      </c>
      <c r="F26" s="0" t="s">
        <v>2742</v>
      </c>
      <c r="G26" s="0" t="s">
        <v>1569</v>
      </c>
    </row>
    <row customHeight="1" ht="11.25">
      <c r="A27" s="543" t="s">
        <v>16</v>
      </c>
      <c r="B27" s="0" t="s">
        <v>2781</v>
      </c>
      <c r="C27" s="0" t="s">
        <v>2782</v>
      </c>
      <c r="D27" s="0" t="s">
        <v>2791</v>
      </c>
      <c r="E27" s="0" t="s">
        <v>2792</v>
      </c>
      <c r="F27" s="0" t="s">
        <v>2742</v>
      </c>
      <c r="G27" s="0" t="s">
        <v>1574</v>
      </c>
    </row>
    <row customHeight="1" ht="11.25">
      <c r="A28" s="543" t="s">
        <v>16</v>
      </c>
      <c r="B28" s="0" t="s">
        <v>2781</v>
      </c>
      <c r="C28" s="0" t="s">
        <v>2782</v>
      </c>
      <c r="D28" s="0" t="s">
        <v>2793</v>
      </c>
      <c r="E28" s="0" t="s">
        <v>2794</v>
      </c>
      <c r="F28" s="0" t="s">
        <v>2742</v>
      </c>
      <c r="G28" s="0" t="s">
        <v>1582</v>
      </c>
    </row>
    <row customHeight="1" ht="11.25">
      <c r="A29" s="543" t="s">
        <v>16</v>
      </c>
      <c r="B29" s="0" t="s">
        <v>2781</v>
      </c>
      <c r="C29" s="0" t="s">
        <v>2782</v>
      </c>
      <c r="D29" s="0" t="s">
        <v>2795</v>
      </c>
      <c r="E29" s="0" t="s">
        <v>2796</v>
      </c>
      <c r="F29" s="0" t="s">
        <v>2742</v>
      </c>
      <c r="G29" s="0" t="s">
        <v>1584</v>
      </c>
    </row>
    <row customHeight="1" ht="11.25">
      <c r="A30" s="543" t="s">
        <v>16</v>
      </c>
      <c r="B30" s="0" t="s">
        <v>2781</v>
      </c>
      <c r="C30" s="0" t="s">
        <v>2782</v>
      </c>
      <c r="D30" s="0" t="s">
        <v>2797</v>
      </c>
      <c r="E30" s="0" t="s">
        <v>2798</v>
      </c>
      <c r="F30" s="0" t="s">
        <v>2799</v>
      </c>
      <c r="G30" s="0" t="s">
        <v>1587</v>
      </c>
    </row>
    <row customHeight="1" ht="11.25">
      <c r="A31" s="543" t="s">
        <v>16</v>
      </c>
      <c r="B31" s="0" t="s">
        <v>2781</v>
      </c>
      <c r="C31" s="0" t="s">
        <v>2782</v>
      </c>
      <c r="D31" s="0" t="s">
        <v>2800</v>
      </c>
      <c r="E31" s="0" t="s">
        <v>2801</v>
      </c>
      <c r="F31" s="0" t="s">
        <v>2758</v>
      </c>
      <c r="G31" s="0" t="s">
        <v>1593</v>
      </c>
    </row>
    <row customHeight="1" ht="11.25">
      <c r="A32" s="543" t="s">
        <v>16</v>
      </c>
      <c r="B32" s="0" t="s">
        <v>2781</v>
      </c>
      <c r="C32" s="0" t="s">
        <v>2782</v>
      </c>
      <c r="D32" s="0" t="s">
        <v>2802</v>
      </c>
      <c r="E32" s="0" t="s">
        <v>2803</v>
      </c>
      <c r="F32" s="0" t="s">
        <v>2758</v>
      </c>
      <c r="G32" s="0" t="s">
        <v>1595</v>
      </c>
    </row>
    <row customHeight="1" ht="11.25">
      <c r="A33" s="543" t="s">
        <v>16</v>
      </c>
      <c r="B33" s="0" t="s">
        <v>2804</v>
      </c>
      <c r="C33" s="0" t="s">
        <v>2805</v>
      </c>
      <c r="D33" s="0" t="s">
        <v>2806</v>
      </c>
      <c r="E33" s="0" t="s">
        <v>2807</v>
      </c>
      <c r="F33" s="0" t="s">
        <v>2742</v>
      </c>
      <c r="G33" s="0" t="s">
        <v>1597</v>
      </c>
    </row>
    <row customHeight="1" ht="11.25">
      <c r="A34" s="543" t="s">
        <v>16</v>
      </c>
      <c r="B34" s="0" t="s">
        <v>2804</v>
      </c>
      <c r="C34" s="0" t="s">
        <v>2805</v>
      </c>
      <c r="D34" s="0" t="s">
        <v>2808</v>
      </c>
      <c r="E34" s="0" t="s">
        <v>2809</v>
      </c>
      <c r="F34" s="0" t="s">
        <v>2742</v>
      </c>
      <c r="G34" s="0" t="s">
        <v>1599</v>
      </c>
    </row>
    <row customHeight="1" ht="11.25">
      <c r="A35" s="543" t="s">
        <v>16</v>
      </c>
      <c r="B35" s="0" t="s">
        <v>2804</v>
      </c>
      <c r="C35" s="0" t="s">
        <v>2805</v>
      </c>
      <c r="D35" s="0" t="s">
        <v>2804</v>
      </c>
      <c r="E35" s="0" t="s">
        <v>2805</v>
      </c>
      <c r="F35" s="0" t="s">
        <v>2743</v>
      </c>
      <c r="G35" s="0" t="s">
        <v>1604</v>
      </c>
    </row>
    <row customHeight="1" ht="11.25">
      <c r="A36" s="543" t="s">
        <v>16</v>
      </c>
      <c r="B36" s="0" t="s">
        <v>2804</v>
      </c>
      <c r="C36" s="0" t="s">
        <v>2805</v>
      </c>
      <c r="D36" s="0" t="s">
        <v>2810</v>
      </c>
      <c r="E36" s="0" t="s">
        <v>2811</v>
      </c>
      <c r="F36" s="0" t="s">
        <v>2742</v>
      </c>
      <c r="G36" s="0" t="s">
        <v>1609</v>
      </c>
    </row>
    <row customHeight="1" ht="11.25">
      <c r="A37" s="543" t="s">
        <v>16</v>
      </c>
      <c r="B37" s="0" t="s">
        <v>2804</v>
      </c>
      <c r="C37" s="0" t="s">
        <v>2805</v>
      </c>
      <c r="D37" s="0" t="s">
        <v>2812</v>
      </c>
      <c r="E37" s="0" t="s">
        <v>2813</v>
      </c>
      <c r="F37" s="0" t="s">
        <v>2742</v>
      </c>
      <c r="G37" s="0" t="s">
        <v>1613</v>
      </c>
    </row>
    <row customHeight="1" ht="11.25">
      <c r="A38" s="543" t="s">
        <v>16</v>
      </c>
      <c r="B38" s="0" t="s">
        <v>2804</v>
      </c>
      <c r="C38" s="0" t="s">
        <v>2805</v>
      </c>
      <c r="D38" s="0" t="s">
        <v>2814</v>
      </c>
      <c r="E38" s="0" t="s">
        <v>2815</v>
      </c>
      <c r="F38" s="0" t="s">
        <v>2742</v>
      </c>
      <c r="G38" s="0" t="s">
        <v>1621</v>
      </c>
    </row>
    <row customHeight="1" ht="11.25">
      <c r="A39" s="543" t="s">
        <v>16</v>
      </c>
      <c r="B39" s="0" t="s">
        <v>2804</v>
      </c>
      <c r="C39" s="0" t="s">
        <v>2805</v>
      </c>
      <c r="D39" s="0" t="s">
        <v>2816</v>
      </c>
      <c r="E39" s="0" t="s">
        <v>2817</v>
      </c>
      <c r="F39" s="0" t="s">
        <v>2758</v>
      </c>
      <c r="G39" s="0" t="s">
        <v>1627</v>
      </c>
    </row>
    <row customHeight="1" ht="11.25">
      <c r="A40" s="543" t="s">
        <v>16</v>
      </c>
      <c r="B40" s="0" t="s">
        <v>2818</v>
      </c>
      <c r="C40" s="0" t="s">
        <v>2819</v>
      </c>
      <c r="D40" s="0" t="s">
        <v>2820</v>
      </c>
      <c r="E40" s="0" t="s">
        <v>2821</v>
      </c>
      <c r="F40" s="0" t="s">
        <v>2742</v>
      </c>
      <c r="G40" s="0" t="s">
        <v>1632</v>
      </c>
    </row>
    <row customHeight="1" ht="11.25">
      <c r="A41" s="543" t="s">
        <v>16</v>
      </c>
      <c r="B41" s="0" t="s">
        <v>2818</v>
      </c>
      <c r="C41" s="0" t="s">
        <v>2819</v>
      </c>
      <c r="D41" s="0" t="s">
        <v>2818</v>
      </c>
      <c r="E41" s="0" t="s">
        <v>2819</v>
      </c>
      <c r="F41" s="0" t="s">
        <v>2743</v>
      </c>
      <c r="G41" s="0" t="s">
        <v>1636</v>
      </c>
    </row>
    <row customHeight="1" ht="11.25">
      <c r="A42" s="543" t="s">
        <v>16</v>
      </c>
      <c r="B42" s="0" t="s">
        <v>2818</v>
      </c>
      <c r="C42" s="0" t="s">
        <v>2819</v>
      </c>
      <c r="D42" s="0" t="s">
        <v>2822</v>
      </c>
      <c r="E42" s="0" t="s">
        <v>2823</v>
      </c>
      <c r="F42" s="0" t="s">
        <v>2742</v>
      </c>
      <c r="G42" s="0" t="s">
        <v>1639</v>
      </c>
    </row>
    <row customHeight="1" ht="11.25">
      <c r="A43" s="543" t="s">
        <v>16</v>
      </c>
      <c r="B43" s="0" t="s">
        <v>2818</v>
      </c>
      <c r="C43" s="0" t="s">
        <v>2819</v>
      </c>
      <c r="D43" s="0" t="s">
        <v>2824</v>
      </c>
      <c r="E43" s="0" t="s">
        <v>2825</v>
      </c>
      <c r="F43" s="0" t="s">
        <v>2742</v>
      </c>
      <c r="G43" s="0" t="s">
        <v>1646</v>
      </c>
    </row>
    <row customHeight="1" ht="11.25">
      <c r="A44" s="543" t="s">
        <v>16</v>
      </c>
      <c r="B44" s="0" t="s">
        <v>2818</v>
      </c>
      <c r="C44" s="0" t="s">
        <v>2819</v>
      </c>
      <c r="D44" s="0" t="s">
        <v>2826</v>
      </c>
      <c r="E44" s="0" t="s">
        <v>2827</v>
      </c>
      <c r="F44" s="0" t="s">
        <v>2742</v>
      </c>
      <c r="G44" s="0" t="s">
        <v>1655</v>
      </c>
    </row>
    <row customHeight="1" ht="11.25">
      <c r="A45" s="543" t="s">
        <v>16</v>
      </c>
      <c r="B45" s="0" t="s">
        <v>2818</v>
      </c>
      <c r="C45" s="0" t="s">
        <v>2819</v>
      </c>
      <c r="D45" s="0" t="s">
        <v>2828</v>
      </c>
      <c r="E45" s="0" t="s">
        <v>2829</v>
      </c>
      <c r="F45" s="0" t="s">
        <v>2742</v>
      </c>
      <c r="G45" s="0" t="s">
        <v>1660</v>
      </c>
    </row>
    <row customHeight="1" ht="11.25">
      <c r="A46" s="543" t="s">
        <v>16</v>
      </c>
      <c r="B46" s="0" t="s">
        <v>2818</v>
      </c>
      <c r="C46" s="0" t="s">
        <v>2819</v>
      </c>
      <c r="D46" s="0" t="s">
        <v>2830</v>
      </c>
      <c r="E46" s="0" t="s">
        <v>2831</v>
      </c>
      <c r="F46" s="0" t="s">
        <v>2742</v>
      </c>
      <c r="G46" s="0" t="s">
        <v>1664</v>
      </c>
    </row>
    <row customHeight="1" ht="11.25">
      <c r="A47" s="543" t="s">
        <v>16</v>
      </c>
      <c r="B47" s="0" t="s">
        <v>2818</v>
      </c>
      <c r="C47" s="0" t="s">
        <v>2819</v>
      </c>
      <c r="D47" s="0" t="s">
        <v>2832</v>
      </c>
      <c r="E47" s="0" t="s">
        <v>2833</v>
      </c>
      <c r="F47" s="0" t="s">
        <v>2742</v>
      </c>
      <c r="G47" s="0" t="s">
        <v>1670</v>
      </c>
    </row>
    <row customHeight="1" ht="11.25">
      <c r="A48" s="543" t="s">
        <v>16</v>
      </c>
      <c r="B48" s="0" t="s">
        <v>2818</v>
      </c>
      <c r="C48" s="0" t="s">
        <v>2819</v>
      </c>
      <c r="D48" s="0" t="s">
        <v>2834</v>
      </c>
      <c r="E48" s="0" t="s">
        <v>2835</v>
      </c>
      <c r="F48" s="0" t="s">
        <v>2742</v>
      </c>
      <c r="G48" s="0" t="s">
        <v>1675</v>
      </c>
    </row>
    <row customHeight="1" ht="11.25">
      <c r="A49" s="543" t="s">
        <v>16</v>
      </c>
      <c r="B49" s="0" t="s">
        <v>2818</v>
      </c>
      <c r="C49" s="0" t="s">
        <v>2819</v>
      </c>
      <c r="D49" s="0" t="s">
        <v>2836</v>
      </c>
      <c r="E49" s="0" t="s">
        <v>2837</v>
      </c>
      <c r="F49" s="0" t="s">
        <v>2758</v>
      </c>
      <c r="G49" s="0" t="s">
        <v>1678</v>
      </c>
    </row>
    <row customHeight="1" ht="11.25">
      <c r="A50" s="543" t="s">
        <v>16</v>
      </c>
      <c r="B50" s="0" t="s">
        <v>2838</v>
      </c>
      <c r="C50" s="0" t="s">
        <v>2839</v>
      </c>
      <c r="D50" s="0" t="s">
        <v>2840</v>
      </c>
      <c r="E50" s="0" t="s">
        <v>2841</v>
      </c>
      <c r="F50" s="0" t="s">
        <v>2742</v>
      </c>
      <c r="G50" s="0" t="s">
        <v>1681</v>
      </c>
    </row>
    <row customHeight="1" ht="11.25">
      <c r="A51" s="543" t="s">
        <v>16</v>
      </c>
      <c r="B51" s="0" t="s">
        <v>2838</v>
      </c>
      <c r="C51" s="0" t="s">
        <v>2839</v>
      </c>
      <c r="D51" s="0" t="s">
        <v>2842</v>
      </c>
      <c r="E51" s="0" t="s">
        <v>2843</v>
      </c>
      <c r="F51" s="0" t="s">
        <v>2742</v>
      </c>
      <c r="G51" s="0" t="s">
        <v>1686</v>
      </c>
    </row>
    <row customHeight="1" ht="11.25">
      <c r="A52" s="543" t="s">
        <v>16</v>
      </c>
      <c r="B52" s="0" t="s">
        <v>2838</v>
      </c>
      <c r="C52" s="0" t="s">
        <v>2839</v>
      </c>
      <c r="D52" s="0" t="s">
        <v>2844</v>
      </c>
      <c r="E52" s="0" t="s">
        <v>2845</v>
      </c>
      <c r="F52" s="0" t="s">
        <v>2742</v>
      </c>
      <c r="G52" s="0" t="s">
        <v>1690</v>
      </c>
    </row>
    <row customHeight="1" ht="11.25">
      <c r="A53" s="543" t="s">
        <v>16</v>
      </c>
      <c r="B53" s="0" t="s">
        <v>2838</v>
      </c>
      <c r="C53" s="0" t="s">
        <v>2839</v>
      </c>
      <c r="D53" s="0" t="s">
        <v>2838</v>
      </c>
      <c r="E53" s="0" t="s">
        <v>2839</v>
      </c>
      <c r="F53" s="0" t="s">
        <v>2743</v>
      </c>
      <c r="G53" s="0" t="s">
        <v>1692</v>
      </c>
    </row>
    <row customHeight="1" ht="11.25">
      <c r="A54" s="543" t="s">
        <v>16</v>
      </c>
      <c r="B54" s="0" t="s">
        <v>2838</v>
      </c>
      <c r="C54" s="0" t="s">
        <v>2839</v>
      </c>
      <c r="D54" s="0" t="s">
        <v>2846</v>
      </c>
      <c r="E54" s="0" t="s">
        <v>2847</v>
      </c>
      <c r="F54" s="0" t="s">
        <v>2742</v>
      </c>
      <c r="G54" s="0" t="s">
        <v>1695</v>
      </c>
    </row>
    <row customHeight="1" ht="11.25">
      <c r="A55" s="543" t="s">
        <v>16</v>
      </c>
      <c r="B55" s="0" t="s">
        <v>2838</v>
      </c>
      <c r="C55" s="0" t="s">
        <v>2839</v>
      </c>
      <c r="D55" s="0" t="s">
        <v>2848</v>
      </c>
      <c r="E55" s="0" t="s">
        <v>2849</v>
      </c>
      <c r="F55" s="0" t="s">
        <v>2742</v>
      </c>
      <c r="G55" s="0" t="s">
        <v>1699</v>
      </c>
    </row>
    <row customHeight="1" ht="11.25">
      <c r="A56" s="543" t="s">
        <v>16</v>
      </c>
      <c r="B56" s="0" t="s">
        <v>2838</v>
      </c>
      <c r="C56" s="0" t="s">
        <v>2839</v>
      </c>
      <c r="D56" s="0" t="s">
        <v>2850</v>
      </c>
      <c r="E56" s="0" t="s">
        <v>2851</v>
      </c>
      <c r="F56" s="0" t="s">
        <v>2758</v>
      </c>
      <c r="G56" s="0" t="s">
        <v>1702</v>
      </c>
    </row>
    <row customHeight="1" ht="11.25">
      <c r="A57" s="543" t="s">
        <v>16</v>
      </c>
      <c r="B57" s="0" t="s">
        <v>2852</v>
      </c>
      <c r="C57" s="0" t="s">
        <v>2853</v>
      </c>
      <c r="D57" s="0" t="s">
        <v>2854</v>
      </c>
      <c r="E57" s="0" t="s">
        <v>2855</v>
      </c>
      <c r="F57" s="0" t="s">
        <v>2742</v>
      </c>
      <c r="G57" s="0" t="s">
        <v>1705</v>
      </c>
    </row>
    <row customHeight="1" ht="11.25">
      <c r="A58" s="543" t="s">
        <v>16</v>
      </c>
      <c r="B58" s="0" t="s">
        <v>2852</v>
      </c>
      <c r="C58" s="0" t="s">
        <v>2853</v>
      </c>
      <c r="D58" s="0" t="s">
        <v>2856</v>
      </c>
      <c r="E58" s="0" t="s">
        <v>2857</v>
      </c>
      <c r="F58" s="0" t="s">
        <v>2742</v>
      </c>
      <c r="G58" s="0" t="s">
        <v>1708</v>
      </c>
    </row>
    <row customHeight="1" ht="11.25">
      <c r="A59" s="543" t="s">
        <v>16</v>
      </c>
      <c r="B59" s="0" t="s">
        <v>2852</v>
      </c>
      <c r="C59" s="0" t="s">
        <v>2853</v>
      </c>
      <c r="D59" s="0" t="s">
        <v>2858</v>
      </c>
      <c r="E59" s="0" t="s">
        <v>2859</v>
      </c>
      <c r="F59" s="0" t="s">
        <v>2742</v>
      </c>
      <c r="G59" s="0" t="s">
        <v>1712</v>
      </c>
    </row>
    <row customHeight="1" ht="11.25">
      <c r="A60" s="543" t="s">
        <v>16</v>
      </c>
      <c r="B60" s="0" t="s">
        <v>2852</v>
      </c>
      <c r="C60" s="0" t="s">
        <v>2853</v>
      </c>
      <c r="D60" s="0" t="s">
        <v>2860</v>
      </c>
      <c r="E60" s="0" t="s">
        <v>2861</v>
      </c>
      <c r="F60" s="0" t="s">
        <v>2742</v>
      </c>
      <c r="G60" s="0" t="s">
        <v>1714</v>
      </c>
    </row>
    <row customHeight="1" ht="11.25">
      <c r="A61" s="543" t="s">
        <v>16</v>
      </c>
      <c r="B61" s="0" t="s">
        <v>2852</v>
      </c>
      <c r="C61" s="0" t="s">
        <v>2853</v>
      </c>
      <c r="D61" s="0" t="s">
        <v>2769</v>
      </c>
      <c r="E61" s="0" t="s">
        <v>2862</v>
      </c>
      <c r="F61" s="0" t="s">
        <v>2742</v>
      </c>
      <c r="G61" s="0" t="s">
        <v>2863</v>
      </c>
    </row>
    <row customHeight="1" ht="11.25">
      <c r="A62" s="543" t="s">
        <v>16</v>
      </c>
      <c r="B62" s="0" t="s">
        <v>2852</v>
      </c>
      <c r="C62" s="0" t="s">
        <v>2853</v>
      </c>
      <c r="D62" s="0" t="s">
        <v>2864</v>
      </c>
      <c r="E62" s="0" t="s">
        <v>2865</v>
      </c>
      <c r="F62" s="0" t="s">
        <v>2742</v>
      </c>
      <c r="G62" s="0" t="s">
        <v>2866</v>
      </c>
    </row>
    <row customHeight="1" ht="11.25">
      <c r="A63" s="543" t="s">
        <v>16</v>
      </c>
      <c r="B63" s="0" t="s">
        <v>2852</v>
      </c>
      <c r="C63" s="0" t="s">
        <v>2853</v>
      </c>
      <c r="D63" s="0" t="s">
        <v>2867</v>
      </c>
      <c r="E63" s="0" t="s">
        <v>2868</v>
      </c>
      <c r="F63" s="0" t="s">
        <v>2742</v>
      </c>
      <c r="G63" s="0" t="s">
        <v>2869</v>
      </c>
    </row>
    <row customHeight="1" ht="11.25">
      <c r="A64" s="543" t="s">
        <v>16</v>
      </c>
      <c r="B64" s="0" t="s">
        <v>2852</v>
      </c>
      <c r="C64" s="0" t="s">
        <v>2853</v>
      </c>
      <c r="D64" s="0" t="s">
        <v>2870</v>
      </c>
      <c r="E64" s="0" t="s">
        <v>2871</v>
      </c>
      <c r="F64" s="0" t="s">
        <v>2742</v>
      </c>
      <c r="G64" s="0" t="s">
        <v>2872</v>
      </c>
    </row>
    <row customHeight="1" ht="11.25">
      <c r="A65" s="543" t="s">
        <v>16</v>
      </c>
      <c r="B65" s="0" t="s">
        <v>2852</v>
      </c>
      <c r="C65" s="0" t="s">
        <v>2853</v>
      </c>
      <c r="D65" s="0" t="s">
        <v>2852</v>
      </c>
      <c r="E65" s="0" t="s">
        <v>2853</v>
      </c>
      <c r="F65" s="0" t="s">
        <v>2743</v>
      </c>
      <c r="G65" s="0" t="s">
        <v>2873</v>
      </c>
    </row>
    <row customHeight="1" ht="11.25">
      <c r="A66" s="543" t="s">
        <v>16</v>
      </c>
      <c r="B66" s="0" t="s">
        <v>2852</v>
      </c>
      <c r="C66" s="0" t="s">
        <v>2853</v>
      </c>
      <c r="D66" s="0" t="s">
        <v>2874</v>
      </c>
      <c r="E66" s="0" t="s">
        <v>2875</v>
      </c>
      <c r="F66" s="0" t="s">
        <v>2742</v>
      </c>
      <c r="G66" s="0" t="s">
        <v>2876</v>
      </c>
    </row>
    <row customHeight="1" ht="11.25">
      <c r="A67" s="543" t="s">
        <v>16</v>
      </c>
      <c r="B67" s="0" t="s">
        <v>2852</v>
      </c>
      <c r="C67" s="0" t="s">
        <v>2853</v>
      </c>
      <c r="D67" s="0" t="s">
        <v>2877</v>
      </c>
      <c r="E67" s="0" t="s">
        <v>2878</v>
      </c>
      <c r="F67" s="0" t="s">
        <v>2742</v>
      </c>
      <c r="G67" s="0" t="s">
        <v>2033</v>
      </c>
    </row>
    <row customHeight="1" ht="11.25">
      <c r="A68" s="543" t="s">
        <v>16</v>
      </c>
      <c r="B68" s="0" t="s">
        <v>2852</v>
      </c>
      <c r="C68" s="0" t="s">
        <v>2853</v>
      </c>
      <c r="D68" s="0" t="s">
        <v>2879</v>
      </c>
      <c r="E68" s="0" t="s">
        <v>2880</v>
      </c>
      <c r="F68" s="0" t="s">
        <v>2742</v>
      </c>
      <c r="G68" s="0" t="s">
        <v>2881</v>
      </c>
    </row>
    <row customHeight="1" ht="11.25">
      <c r="A69" s="543" t="s">
        <v>16</v>
      </c>
      <c r="B69" s="0" t="s">
        <v>2852</v>
      </c>
      <c r="C69" s="0" t="s">
        <v>2853</v>
      </c>
      <c r="D69" s="0" t="s">
        <v>2882</v>
      </c>
      <c r="E69" s="0" t="s">
        <v>2883</v>
      </c>
      <c r="F69" s="0" t="s">
        <v>2742</v>
      </c>
      <c r="G69" s="0" t="s">
        <v>2236</v>
      </c>
    </row>
    <row customHeight="1" ht="11.25">
      <c r="A70" s="543" t="s">
        <v>16</v>
      </c>
      <c r="B70" s="0" t="s">
        <v>2852</v>
      </c>
      <c r="C70" s="0" t="s">
        <v>2853</v>
      </c>
      <c r="D70" s="0" t="s">
        <v>2884</v>
      </c>
      <c r="E70" s="0" t="s">
        <v>2885</v>
      </c>
      <c r="F70" s="0" t="s">
        <v>2742</v>
      </c>
      <c r="G70" s="0" t="s">
        <v>2886</v>
      </c>
    </row>
    <row customHeight="1" ht="11.25">
      <c r="A71" s="543" t="s">
        <v>16</v>
      </c>
      <c r="B71" s="0" t="s">
        <v>2852</v>
      </c>
      <c r="C71" s="0" t="s">
        <v>2853</v>
      </c>
      <c r="D71" s="0" t="s">
        <v>2887</v>
      </c>
      <c r="E71" s="0" t="s">
        <v>2888</v>
      </c>
      <c r="F71" s="0" t="s">
        <v>2742</v>
      </c>
      <c r="G71" s="0" t="s">
        <v>2889</v>
      </c>
    </row>
    <row customHeight="1" ht="11.25">
      <c r="A72" s="543" t="s">
        <v>16</v>
      </c>
      <c r="B72" s="0" t="s">
        <v>2852</v>
      </c>
      <c r="C72" s="0" t="s">
        <v>2853</v>
      </c>
      <c r="D72" s="0" t="s">
        <v>2890</v>
      </c>
      <c r="E72" s="0" t="s">
        <v>2891</v>
      </c>
      <c r="F72" s="0" t="s">
        <v>2742</v>
      </c>
      <c r="G72" s="0" t="s">
        <v>2892</v>
      </c>
    </row>
    <row customHeight="1" ht="11.25">
      <c r="A73" s="543" t="s">
        <v>16</v>
      </c>
      <c r="B73" s="0" t="s">
        <v>2852</v>
      </c>
      <c r="C73" s="0" t="s">
        <v>2853</v>
      </c>
      <c r="D73" s="0" t="s">
        <v>2893</v>
      </c>
      <c r="E73" s="0" t="s">
        <v>2894</v>
      </c>
      <c r="F73" s="0" t="s">
        <v>2742</v>
      </c>
      <c r="G73" s="0" t="s">
        <v>2895</v>
      </c>
    </row>
    <row customHeight="1" ht="11.25">
      <c r="A74" s="543" t="s">
        <v>16</v>
      </c>
      <c r="B74" s="0" t="s">
        <v>2852</v>
      </c>
      <c r="C74" s="0" t="s">
        <v>2853</v>
      </c>
      <c r="D74" s="0" t="s">
        <v>2896</v>
      </c>
      <c r="E74" s="0" t="s">
        <v>2897</v>
      </c>
      <c r="F74" s="0" t="s">
        <v>2758</v>
      </c>
      <c r="G74" s="0" t="s">
        <v>2898</v>
      </c>
    </row>
    <row customHeight="1" ht="11.25">
      <c r="A75" s="543" t="s">
        <v>16</v>
      </c>
      <c r="B75" s="0" t="s">
        <v>2852</v>
      </c>
      <c r="C75" s="0" t="s">
        <v>2853</v>
      </c>
      <c r="D75" s="0" t="s">
        <v>2899</v>
      </c>
      <c r="E75" s="0" t="s">
        <v>2900</v>
      </c>
      <c r="F75" s="0" t="s">
        <v>2758</v>
      </c>
      <c r="G75" s="0" t="s">
        <v>2901</v>
      </c>
    </row>
    <row customHeight="1" ht="11.25">
      <c r="A76" s="543" t="s">
        <v>16</v>
      </c>
      <c r="B76" s="0" t="s">
        <v>2902</v>
      </c>
      <c r="C76" s="0" t="s">
        <v>2903</v>
      </c>
      <c r="D76" s="0" t="s">
        <v>2904</v>
      </c>
      <c r="E76" s="0" t="s">
        <v>2905</v>
      </c>
      <c r="F76" s="0" t="s">
        <v>2742</v>
      </c>
      <c r="G76" s="0" t="s">
        <v>2906</v>
      </c>
    </row>
    <row customHeight="1" ht="11.25">
      <c r="A77" s="543" t="s">
        <v>16</v>
      </c>
      <c r="B77" s="0" t="s">
        <v>2902</v>
      </c>
      <c r="C77" s="0" t="s">
        <v>2903</v>
      </c>
      <c r="D77" s="0" t="s">
        <v>2907</v>
      </c>
      <c r="E77" s="0" t="s">
        <v>2908</v>
      </c>
      <c r="F77" s="0" t="s">
        <v>2742</v>
      </c>
      <c r="G77" s="0" t="s">
        <v>2909</v>
      </c>
    </row>
    <row customHeight="1" ht="11.25">
      <c r="A78" s="543" t="s">
        <v>16</v>
      </c>
      <c r="B78" s="0" t="s">
        <v>2902</v>
      </c>
      <c r="C78" s="0" t="s">
        <v>2903</v>
      </c>
      <c r="D78" s="0" t="s">
        <v>2910</v>
      </c>
      <c r="E78" s="0" t="s">
        <v>2911</v>
      </c>
      <c r="F78" s="0" t="s">
        <v>2742</v>
      </c>
      <c r="G78" s="0" t="s">
        <v>2912</v>
      </c>
    </row>
    <row customHeight="1" ht="11.25">
      <c r="A79" s="543" t="s">
        <v>16</v>
      </c>
      <c r="B79" s="0" t="s">
        <v>2902</v>
      </c>
      <c r="C79" s="0" t="s">
        <v>2903</v>
      </c>
      <c r="D79" s="0" t="s">
        <v>2902</v>
      </c>
      <c r="E79" s="0" t="s">
        <v>2903</v>
      </c>
      <c r="F79" s="0" t="s">
        <v>2743</v>
      </c>
      <c r="G79" s="0" t="s">
        <v>2913</v>
      </c>
    </row>
    <row customHeight="1" ht="11.25">
      <c r="A80" s="543" t="s">
        <v>16</v>
      </c>
      <c r="B80" s="0" t="s">
        <v>2902</v>
      </c>
      <c r="C80" s="0" t="s">
        <v>2903</v>
      </c>
      <c r="D80" s="0" t="s">
        <v>2914</v>
      </c>
      <c r="E80" s="0" t="s">
        <v>2915</v>
      </c>
      <c r="F80" s="0" t="s">
        <v>2742</v>
      </c>
      <c r="G80" s="0" t="s">
        <v>2916</v>
      </c>
    </row>
    <row customHeight="1" ht="11.25">
      <c r="A81" s="543" t="s">
        <v>16</v>
      </c>
      <c r="B81" s="0" t="s">
        <v>2902</v>
      </c>
      <c r="C81" s="0" t="s">
        <v>2903</v>
      </c>
      <c r="D81" s="0" t="s">
        <v>2917</v>
      </c>
      <c r="E81" s="0" t="s">
        <v>2918</v>
      </c>
      <c r="F81" s="0" t="s">
        <v>2742</v>
      </c>
      <c r="G81" s="0" t="s">
        <v>2919</v>
      </c>
    </row>
    <row customHeight="1" ht="11.25">
      <c r="A82" s="543" t="s">
        <v>16</v>
      </c>
      <c r="B82" s="0" t="s">
        <v>2902</v>
      </c>
      <c r="C82" s="0" t="s">
        <v>2903</v>
      </c>
      <c r="D82" s="0" t="s">
        <v>2920</v>
      </c>
      <c r="E82" s="0" t="s">
        <v>2921</v>
      </c>
      <c r="F82" s="0" t="s">
        <v>2742</v>
      </c>
      <c r="G82" s="0" t="s">
        <v>2922</v>
      </c>
    </row>
    <row customHeight="1" ht="11.25">
      <c r="A83" s="543" t="s">
        <v>16</v>
      </c>
      <c r="B83" s="0" t="s">
        <v>2902</v>
      </c>
      <c r="C83" s="0" t="s">
        <v>2903</v>
      </c>
      <c r="D83" s="0" t="s">
        <v>2923</v>
      </c>
      <c r="E83" s="0" t="s">
        <v>2924</v>
      </c>
      <c r="F83" s="0" t="s">
        <v>2742</v>
      </c>
      <c r="G83" s="0" t="s">
        <v>2925</v>
      </c>
    </row>
    <row customHeight="1" ht="11.25">
      <c r="A84" s="543" t="s">
        <v>16</v>
      </c>
      <c r="B84" s="0" t="s">
        <v>2902</v>
      </c>
      <c r="C84" s="0" t="s">
        <v>2903</v>
      </c>
      <c r="D84" s="0" t="s">
        <v>2926</v>
      </c>
      <c r="E84" s="0" t="s">
        <v>2927</v>
      </c>
      <c r="F84" s="0" t="s">
        <v>2742</v>
      </c>
      <c r="G84" s="0" t="s">
        <v>2928</v>
      </c>
    </row>
    <row customHeight="1" ht="11.25">
      <c r="A85" s="543" t="s">
        <v>16</v>
      </c>
      <c r="B85" s="0" t="s">
        <v>2902</v>
      </c>
      <c r="C85" s="0" t="s">
        <v>2903</v>
      </c>
      <c r="D85" s="0" t="s">
        <v>2929</v>
      </c>
      <c r="E85" s="0" t="s">
        <v>2930</v>
      </c>
      <c r="F85" s="0" t="s">
        <v>2742</v>
      </c>
      <c r="G85" s="0" t="s">
        <v>2931</v>
      </c>
    </row>
    <row customHeight="1" ht="11.25">
      <c r="A86" s="543" t="s">
        <v>16</v>
      </c>
      <c r="B86" s="0" t="s">
        <v>2902</v>
      </c>
      <c r="C86" s="0" t="s">
        <v>2903</v>
      </c>
      <c r="D86" s="0" t="s">
        <v>2932</v>
      </c>
      <c r="E86" s="0" t="s">
        <v>2933</v>
      </c>
      <c r="F86" s="0" t="s">
        <v>2758</v>
      </c>
      <c r="G86" s="0" t="s">
        <v>2934</v>
      </c>
    </row>
    <row customHeight="1" ht="11.25">
      <c r="A87" s="543" t="s">
        <v>16</v>
      </c>
      <c r="B87" s="0" t="s">
        <v>2935</v>
      </c>
      <c r="C87" s="0" t="s">
        <v>2936</v>
      </c>
      <c r="D87" s="0" t="s">
        <v>2937</v>
      </c>
      <c r="E87" s="0" t="s">
        <v>2938</v>
      </c>
      <c r="F87" s="0" t="s">
        <v>2742</v>
      </c>
      <c r="G87" s="0" t="s">
        <v>2939</v>
      </c>
    </row>
    <row customHeight="1" ht="11.25">
      <c r="A88" s="543" t="s">
        <v>16</v>
      </c>
      <c r="B88" s="0" t="s">
        <v>2935</v>
      </c>
      <c r="C88" s="0" t="s">
        <v>2936</v>
      </c>
      <c r="D88" s="0" t="s">
        <v>2935</v>
      </c>
      <c r="E88" s="0" t="s">
        <v>2936</v>
      </c>
      <c r="F88" s="0" t="s">
        <v>2743</v>
      </c>
      <c r="G88" s="0" t="s">
        <v>2940</v>
      </c>
    </row>
    <row customHeight="1" ht="11.25">
      <c r="A89" s="543" t="s">
        <v>16</v>
      </c>
      <c r="B89" s="0" t="s">
        <v>2935</v>
      </c>
      <c r="C89" s="0" t="s">
        <v>2936</v>
      </c>
      <c r="D89" s="0" t="s">
        <v>2941</v>
      </c>
      <c r="E89" s="0" t="s">
        <v>2942</v>
      </c>
      <c r="F89" s="0" t="s">
        <v>2742</v>
      </c>
      <c r="G89" s="0" t="s">
        <v>2943</v>
      </c>
    </row>
    <row customHeight="1" ht="11.25">
      <c r="A90" s="543" t="s">
        <v>16</v>
      </c>
      <c r="B90" s="0" t="s">
        <v>2935</v>
      </c>
      <c r="C90" s="0" t="s">
        <v>2936</v>
      </c>
      <c r="D90" s="0" t="s">
        <v>2944</v>
      </c>
      <c r="E90" s="0" t="s">
        <v>2945</v>
      </c>
      <c r="F90" s="0" t="s">
        <v>2742</v>
      </c>
      <c r="G90" s="0" t="s">
        <v>2946</v>
      </c>
    </row>
    <row customHeight="1" ht="11.25">
      <c r="A91" s="543" t="s">
        <v>16</v>
      </c>
      <c r="B91" s="0" t="s">
        <v>2935</v>
      </c>
      <c r="C91" s="0" t="s">
        <v>2936</v>
      </c>
      <c r="D91" s="0" t="s">
        <v>2947</v>
      </c>
      <c r="E91" s="0" t="s">
        <v>2948</v>
      </c>
      <c r="F91" s="0" t="s">
        <v>2742</v>
      </c>
      <c r="G91" s="0" t="s">
        <v>2949</v>
      </c>
    </row>
    <row customHeight="1" ht="11.25">
      <c r="A92" s="543" t="s">
        <v>16</v>
      </c>
      <c r="B92" s="0" t="s">
        <v>2935</v>
      </c>
      <c r="C92" s="0" t="s">
        <v>2936</v>
      </c>
      <c r="D92" s="0" t="s">
        <v>2950</v>
      </c>
      <c r="E92" s="0" t="s">
        <v>2951</v>
      </c>
      <c r="F92" s="0" t="s">
        <v>2758</v>
      </c>
      <c r="G92" s="0" t="s">
        <v>2952</v>
      </c>
    </row>
    <row customHeight="1" ht="11.25">
      <c r="A93" s="543" t="s">
        <v>16</v>
      </c>
      <c r="B93" s="0" t="s">
        <v>2953</v>
      </c>
      <c r="C93" s="0" t="s">
        <v>2954</v>
      </c>
      <c r="D93" s="0" t="s">
        <v>2955</v>
      </c>
      <c r="E93" s="0" t="s">
        <v>2956</v>
      </c>
      <c r="F93" s="0" t="s">
        <v>2742</v>
      </c>
      <c r="G93" s="0" t="s">
        <v>2957</v>
      </c>
    </row>
    <row customHeight="1" ht="11.25">
      <c r="A94" s="543" t="s">
        <v>16</v>
      </c>
      <c r="B94" s="0" t="s">
        <v>2953</v>
      </c>
      <c r="C94" s="0" t="s">
        <v>2954</v>
      </c>
      <c r="D94" s="0" t="s">
        <v>2958</v>
      </c>
      <c r="E94" s="0" t="s">
        <v>2959</v>
      </c>
      <c r="F94" s="0" t="s">
        <v>2742</v>
      </c>
      <c r="G94" s="0" t="s">
        <v>2960</v>
      </c>
    </row>
    <row customHeight="1" ht="11.25">
      <c r="A95" s="543" t="s">
        <v>16</v>
      </c>
      <c r="B95" s="0" t="s">
        <v>2953</v>
      </c>
      <c r="C95" s="0" t="s">
        <v>2954</v>
      </c>
      <c r="D95" s="0" t="s">
        <v>2953</v>
      </c>
      <c r="E95" s="0" t="s">
        <v>2954</v>
      </c>
      <c r="F95" s="0" t="s">
        <v>2743</v>
      </c>
      <c r="G95" s="0" t="s">
        <v>2961</v>
      </c>
    </row>
    <row customHeight="1" ht="11.25">
      <c r="A96" s="543" t="s">
        <v>16</v>
      </c>
      <c r="B96" s="0" t="s">
        <v>2953</v>
      </c>
      <c r="C96" s="0" t="s">
        <v>2954</v>
      </c>
      <c r="D96" s="0" t="s">
        <v>2962</v>
      </c>
      <c r="E96" s="0" t="s">
        <v>2963</v>
      </c>
      <c r="F96" s="0" t="s">
        <v>2742</v>
      </c>
      <c r="G96" s="0" t="s">
        <v>2964</v>
      </c>
    </row>
    <row customHeight="1" ht="11.25">
      <c r="A97" s="543" t="s">
        <v>16</v>
      </c>
      <c r="B97" s="0" t="s">
        <v>2953</v>
      </c>
      <c r="C97" s="0" t="s">
        <v>2954</v>
      </c>
      <c r="D97" s="0" t="s">
        <v>2965</v>
      </c>
      <c r="E97" s="0" t="s">
        <v>2966</v>
      </c>
      <c r="F97" s="0" t="s">
        <v>2758</v>
      </c>
      <c r="G97" s="0" t="s">
        <v>2967</v>
      </c>
    </row>
    <row customHeight="1" ht="11.25">
      <c r="A98" s="543" t="s">
        <v>16</v>
      </c>
      <c r="B98" s="0" t="s">
        <v>2968</v>
      </c>
      <c r="C98" s="0" t="s">
        <v>2969</v>
      </c>
      <c r="D98" s="0" t="s">
        <v>2970</v>
      </c>
      <c r="E98" s="0" t="s">
        <v>2971</v>
      </c>
      <c r="F98" s="0" t="s">
        <v>2742</v>
      </c>
      <c r="G98" s="0" t="s">
        <v>2972</v>
      </c>
    </row>
    <row customHeight="1" ht="11.25">
      <c r="A99" s="543" t="s">
        <v>16</v>
      </c>
      <c r="B99" s="0" t="s">
        <v>2968</v>
      </c>
      <c r="C99" s="0" t="s">
        <v>2969</v>
      </c>
      <c r="D99" s="0" t="s">
        <v>2973</v>
      </c>
      <c r="E99" s="0" t="s">
        <v>2974</v>
      </c>
      <c r="F99" s="0" t="s">
        <v>2742</v>
      </c>
      <c r="G99" s="0" t="s">
        <v>2975</v>
      </c>
    </row>
    <row customHeight="1" ht="11.25">
      <c r="A100" s="543" t="s">
        <v>16</v>
      </c>
      <c r="B100" s="0" t="s">
        <v>2968</v>
      </c>
      <c r="C100" s="0" t="s">
        <v>2969</v>
      </c>
      <c r="D100" s="0" t="s">
        <v>2976</v>
      </c>
      <c r="E100" s="0" t="s">
        <v>2977</v>
      </c>
      <c r="F100" s="0" t="s">
        <v>2742</v>
      </c>
      <c r="G100" s="0" t="s">
        <v>2978</v>
      </c>
    </row>
    <row customHeight="1" ht="11.25">
      <c r="A101" s="543" t="s">
        <v>16</v>
      </c>
      <c r="B101" s="0" t="s">
        <v>2968</v>
      </c>
      <c r="C101" s="0" t="s">
        <v>2969</v>
      </c>
      <c r="D101" s="0" t="s">
        <v>2979</v>
      </c>
      <c r="E101" s="0" t="s">
        <v>2980</v>
      </c>
      <c r="F101" s="0" t="s">
        <v>2742</v>
      </c>
      <c r="G101" s="0" t="s">
        <v>2981</v>
      </c>
    </row>
    <row customHeight="1" ht="11.25">
      <c r="A102" s="543" t="s">
        <v>16</v>
      </c>
      <c r="B102" s="0" t="s">
        <v>2968</v>
      </c>
      <c r="C102" s="0" t="s">
        <v>2969</v>
      </c>
      <c r="D102" s="0" t="s">
        <v>2982</v>
      </c>
      <c r="E102" s="0" t="s">
        <v>2983</v>
      </c>
      <c r="F102" s="0" t="s">
        <v>2742</v>
      </c>
      <c r="G102" s="0" t="s">
        <v>2984</v>
      </c>
    </row>
    <row customHeight="1" ht="11.25">
      <c r="A103" s="543" t="s">
        <v>16</v>
      </c>
      <c r="B103" s="0" t="s">
        <v>2968</v>
      </c>
      <c r="C103" s="0" t="s">
        <v>2969</v>
      </c>
      <c r="D103" s="0" t="s">
        <v>2968</v>
      </c>
      <c r="E103" s="0" t="s">
        <v>2969</v>
      </c>
      <c r="F103" s="0" t="s">
        <v>2743</v>
      </c>
      <c r="G103" s="0" t="s">
        <v>2985</v>
      </c>
    </row>
    <row customHeight="1" ht="11.25">
      <c r="A104" s="543" t="s">
        <v>16</v>
      </c>
      <c r="B104" s="0" t="s">
        <v>2968</v>
      </c>
      <c r="C104" s="0" t="s">
        <v>2969</v>
      </c>
      <c r="D104" s="0" t="s">
        <v>2986</v>
      </c>
      <c r="E104" s="0" t="s">
        <v>2987</v>
      </c>
      <c r="F104" s="0" t="s">
        <v>2742</v>
      </c>
      <c r="G104" s="0" t="s">
        <v>2988</v>
      </c>
    </row>
    <row customHeight="1" ht="11.25">
      <c r="A105" s="543" t="s">
        <v>16</v>
      </c>
      <c r="B105" s="0" t="s">
        <v>2968</v>
      </c>
      <c r="C105" s="0" t="s">
        <v>2969</v>
      </c>
      <c r="D105" s="0" t="s">
        <v>2989</v>
      </c>
      <c r="E105" s="0" t="s">
        <v>2990</v>
      </c>
      <c r="F105" s="0" t="s">
        <v>2742</v>
      </c>
      <c r="G105" s="0" t="s">
        <v>2991</v>
      </c>
    </row>
    <row customHeight="1" ht="11.25">
      <c r="A106" s="543" t="s">
        <v>16</v>
      </c>
      <c r="B106" s="0" t="s">
        <v>2968</v>
      </c>
      <c r="C106" s="0" t="s">
        <v>2969</v>
      </c>
      <c r="D106" s="0" t="s">
        <v>2992</v>
      </c>
      <c r="E106" s="0" t="s">
        <v>2993</v>
      </c>
      <c r="F106" s="0" t="s">
        <v>2742</v>
      </c>
      <c r="G106" s="0" t="s">
        <v>2994</v>
      </c>
    </row>
    <row customHeight="1" ht="11.25">
      <c r="A107" s="543" t="s">
        <v>16</v>
      </c>
      <c r="B107" s="0" t="s">
        <v>2968</v>
      </c>
      <c r="C107" s="0" t="s">
        <v>2969</v>
      </c>
      <c r="D107" s="0" t="s">
        <v>2995</v>
      </c>
      <c r="E107" s="0" t="s">
        <v>2996</v>
      </c>
      <c r="F107" s="0" t="s">
        <v>2758</v>
      </c>
      <c r="G107" s="0" t="s">
        <v>2997</v>
      </c>
    </row>
    <row customHeight="1" ht="11.25">
      <c r="A108" s="543" t="s">
        <v>16</v>
      </c>
      <c r="B108" s="0" t="s">
        <v>2998</v>
      </c>
      <c r="C108" s="0" t="s">
        <v>2999</v>
      </c>
      <c r="D108" s="0" t="s">
        <v>3000</v>
      </c>
      <c r="E108" s="0" t="s">
        <v>3001</v>
      </c>
      <c r="F108" s="0" t="s">
        <v>2742</v>
      </c>
      <c r="G108" s="0" t="s">
        <v>3002</v>
      </c>
    </row>
    <row customHeight="1" ht="11.25">
      <c r="A109" s="543" t="s">
        <v>16</v>
      </c>
      <c r="B109" s="0" t="s">
        <v>2998</v>
      </c>
      <c r="C109" s="0" t="s">
        <v>2999</v>
      </c>
      <c r="D109" s="0" t="s">
        <v>3003</v>
      </c>
      <c r="E109" s="0" t="s">
        <v>3004</v>
      </c>
      <c r="F109" s="0" t="s">
        <v>2742</v>
      </c>
      <c r="G109" s="0" t="s">
        <v>3005</v>
      </c>
    </row>
    <row customHeight="1" ht="11.25">
      <c r="A110" s="543" t="s">
        <v>16</v>
      </c>
      <c r="B110" s="0" t="s">
        <v>2998</v>
      </c>
      <c r="C110" s="0" t="s">
        <v>2999</v>
      </c>
      <c r="D110" s="0" t="s">
        <v>3006</v>
      </c>
      <c r="E110" s="0" t="s">
        <v>3007</v>
      </c>
      <c r="F110" s="0" t="s">
        <v>2742</v>
      </c>
      <c r="G110" s="0" t="s">
        <v>3008</v>
      </c>
    </row>
    <row customHeight="1" ht="11.25">
      <c r="A111" s="543" t="s">
        <v>16</v>
      </c>
      <c r="B111" s="0" t="s">
        <v>2998</v>
      </c>
      <c r="C111" s="0" t="s">
        <v>2999</v>
      </c>
      <c r="D111" s="0" t="s">
        <v>3009</v>
      </c>
      <c r="E111" s="0" t="s">
        <v>3010</v>
      </c>
      <c r="F111" s="0" t="s">
        <v>2742</v>
      </c>
      <c r="G111" s="0" t="s">
        <v>3011</v>
      </c>
    </row>
    <row customHeight="1" ht="11.25">
      <c r="A112" s="543" t="s">
        <v>16</v>
      </c>
      <c r="B112" s="0" t="s">
        <v>2998</v>
      </c>
      <c r="C112" s="0" t="s">
        <v>2999</v>
      </c>
      <c r="D112" s="0" t="s">
        <v>3012</v>
      </c>
      <c r="E112" s="0" t="s">
        <v>3013</v>
      </c>
      <c r="F112" s="0" t="s">
        <v>2742</v>
      </c>
      <c r="G112" s="0" t="s">
        <v>3014</v>
      </c>
    </row>
    <row customHeight="1" ht="11.25">
      <c r="A113" s="543" t="s">
        <v>16</v>
      </c>
      <c r="B113" s="0" t="s">
        <v>2998</v>
      </c>
      <c r="C113" s="0" t="s">
        <v>2999</v>
      </c>
      <c r="D113" s="0" t="s">
        <v>3015</v>
      </c>
      <c r="E113" s="0" t="s">
        <v>3016</v>
      </c>
      <c r="F113" s="0" t="s">
        <v>2742</v>
      </c>
      <c r="G113" s="0" t="s">
        <v>3017</v>
      </c>
    </row>
    <row customHeight="1" ht="11.25">
      <c r="A114" s="543" t="s">
        <v>16</v>
      </c>
      <c r="B114" s="0" t="s">
        <v>2998</v>
      </c>
      <c r="C114" s="0" t="s">
        <v>2999</v>
      </c>
      <c r="D114" s="0" t="s">
        <v>3018</v>
      </c>
      <c r="E114" s="0" t="s">
        <v>3019</v>
      </c>
      <c r="F114" s="0" t="s">
        <v>2742</v>
      </c>
      <c r="G114" s="0" t="s">
        <v>3020</v>
      </c>
    </row>
    <row customHeight="1" ht="11.25">
      <c r="A115" s="543" t="s">
        <v>16</v>
      </c>
      <c r="B115" s="0" t="s">
        <v>2998</v>
      </c>
      <c r="C115" s="0" t="s">
        <v>2999</v>
      </c>
      <c r="D115" s="0" t="s">
        <v>2998</v>
      </c>
      <c r="E115" s="0" t="s">
        <v>2999</v>
      </c>
      <c r="F115" s="0" t="s">
        <v>2743</v>
      </c>
      <c r="G115" s="0" t="s">
        <v>3021</v>
      </c>
    </row>
    <row customHeight="1" ht="11.25">
      <c r="A116" s="543" t="s">
        <v>16</v>
      </c>
      <c r="B116" s="0" t="s">
        <v>2998</v>
      </c>
      <c r="C116" s="0" t="s">
        <v>2999</v>
      </c>
      <c r="D116" s="0" t="s">
        <v>3022</v>
      </c>
      <c r="E116" s="0" t="s">
        <v>3023</v>
      </c>
      <c r="F116" s="0" t="s">
        <v>2742</v>
      </c>
      <c r="G116" s="0" t="s">
        <v>3024</v>
      </c>
    </row>
    <row customHeight="1" ht="11.25">
      <c r="A117" s="543" t="s">
        <v>16</v>
      </c>
      <c r="B117" s="0" t="s">
        <v>2998</v>
      </c>
      <c r="C117" s="0" t="s">
        <v>2999</v>
      </c>
      <c r="D117" s="0" t="s">
        <v>3025</v>
      </c>
      <c r="E117" s="0" t="s">
        <v>3026</v>
      </c>
      <c r="F117" s="0" t="s">
        <v>2758</v>
      </c>
      <c r="G117" s="0" t="s">
        <v>3027</v>
      </c>
    </row>
    <row customHeight="1" ht="11.25">
      <c r="A118" s="543" t="s">
        <v>16</v>
      </c>
      <c r="B118" s="0" t="s">
        <v>3028</v>
      </c>
      <c r="C118" s="0" t="s">
        <v>3029</v>
      </c>
      <c r="D118" s="0" t="s">
        <v>3030</v>
      </c>
      <c r="E118" s="0" t="s">
        <v>3031</v>
      </c>
      <c r="F118" s="0" t="s">
        <v>2742</v>
      </c>
      <c r="G118" s="0" t="s">
        <v>3032</v>
      </c>
    </row>
    <row customHeight="1" ht="11.25">
      <c r="A119" s="543" t="s">
        <v>16</v>
      </c>
      <c r="B119" s="0" t="s">
        <v>3028</v>
      </c>
      <c r="C119" s="0" t="s">
        <v>3029</v>
      </c>
      <c r="D119" s="0" t="s">
        <v>3033</v>
      </c>
      <c r="E119" s="0" t="s">
        <v>3034</v>
      </c>
      <c r="F119" s="0" t="s">
        <v>2742</v>
      </c>
      <c r="G119" s="0" t="s">
        <v>3035</v>
      </c>
    </row>
    <row customHeight="1" ht="11.25">
      <c r="A120" s="543" t="s">
        <v>16</v>
      </c>
      <c r="B120" s="0" t="s">
        <v>3028</v>
      </c>
      <c r="C120" s="0" t="s">
        <v>3029</v>
      </c>
      <c r="D120" s="0" t="s">
        <v>3036</v>
      </c>
      <c r="E120" s="0" t="s">
        <v>3037</v>
      </c>
      <c r="F120" s="0" t="s">
        <v>2742</v>
      </c>
      <c r="G120" s="0" t="s">
        <v>3038</v>
      </c>
    </row>
    <row customHeight="1" ht="11.25">
      <c r="A121" s="543" t="s">
        <v>16</v>
      </c>
      <c r="B121" s="0" t="s">
        <v>3028</v>
      </c>
      <c r="C121" s="0" t="s">
        <v>3029</v>
      </c>
      <c r="D121" s="0" t="s">
        <v>3039</v>
      </c>
      <c r="E121" s="0" t="s">
        <v>3040</v>
      </c>
      <c r="F121" s="0" t="s">
        <v>2742</v>
      </c>
      <c r="G121" s="0" t="s">
        <v>3041</v>
      </c>
    </row>
    <row customHeight="1" ht="11.25">
      <c r="A122" s="543" t="s">
        <v>16</v>
      </c>
      <c r="B122" s="0" t="s">
        <v>3028</v>
      </c>
      <c r="C122" s="0" t="s">
        <v>3029</v>
      </c>
      <c r="D122" s="0" t="s">
        <v>3042</v>
      </c>
      <c r="E122" s="0" t="s">
        <v>3043</v>
      </c>
      <c r="F122" s="0" t="s">
        <v>2742</v>
      </c>
      <c r="G122" s="0" t="s">
        <v>3044</v>
      </c>
    </row>
    <row customHeight="1" ht="11.25">
      <c r="A123" s="543" t="s">
        <v>16</v>
      </c>
      <c r="B123" s="0" t="s">
        <v>3028</v>
      </c>
      <c r="C123" s="0" t="s">
        <v>3029</v>
      </c>
      <c r="D123" s="0" t="s">
        <v>3045</v>
      </c>
      <c r="E123" s="0" t="s">
        <v>3046</v>
      </c>
      <c r="F123" s="0" t="s">
        <v>2742</v>
      </c>
      <c r="G123" s="0" t="s">
        <v>3047</v>
      </c>
    </row>
    <row customHeight="1" ht="11.25">
      <c r="A124" s="543" t="s">
        <v>16</v>
      </c>
      <c r="B124" s="0" t="s">
        <v>3028</v>
      </c>
      <c r="C124" s="0" t="s">
        <v>3029</v>
      </c>
      <c r="D124" s="0" t="s">
        <v>3028</v>
      </c>
      <c r="E124" s="0" t="s">
        <v>3029</v>
      </c>
      <c r="F124" s="0" t="s">
        <v>2743</v>
      </c>
      <c r="G124" s="0" t="s">
        <v>3048</v>
      </c>
    </row>
    <row customHeight="1" ht="11.25">
      <c r="A125" s="543" t="s">
        <v>16</v>
      </c>
      <c r="B125" s="0" t="s">
        <v>3028</v>
      </c>
      <c r="C125" s="0" t="s">
        <v>3029</v>
      </c>
      <c r="D125" s="0" t="s">
        <v>3049</v>
      </c>
      <c r="E125" s="0" t="s">
        <v>3050</v>
      </c>
      <c r="F125" s="0" t="s">
        <v>2742</v>
      </c>
      <c r="G125" s="0" t="s">
        <v>3051</v>
      </c>
    </row>
    <row customHeight="1" ht="11.25">
      <c r="A126" s="543" t="s">
        <v>16</v>
      </c>
      <c r="B126" s="0" t="s">
        <v>3028</v>
      </c>
      <c r="C126" s="0" t="s">
        <v>3029</v>
      </c>
      <c r="D126" s="0" t="s">
        <v>3052</v>
      </c>
      <c r="E126" s="0" t="s">
        <v>3053</v>
      </c>
      <c r="F126" s="0" t="s">
        <v>2758</v>
      </c>
      <c r="G126" s="0" t="s">
        <v>3054</v>
      </c>
    </row>
    <row customHeight="1" ht="11.25">
      <c r="A127" s="543" t="s">
        <v>16</v>
      </c>
      <c r="B127" s="0" t="s">
        <v>3055</v>
      </c>
      <c r="C127" s="0" t="s">
        <v>3056</v>
      </c>
      <c r="D127" s="0" t="s">
        <v>3057</v>
      </c>
      <c r="E127" s="0" t="s">
        <v>3058</v>
      </c>
      <c r="F127" s="0" t="s">
        <v>2742</v>
      </c>
      <c r="G127" s="0" t="s">
        <v>3059</v>
      </c>
    </row>
    <row customHeight="1" ht="11.25">
      <c r="A128" s="543" t="s">
        <v>16</v>
      </c>
      <c r="B128" s="0" t="s">
        <v>3055</v>
      </c>
      <c r="C128" s="0" t="s">
        <v>3056</v>
      </c>
      <c r="D128" s="0" t="s">
        <v>3060</v>
      </c>
      <c r="E128" s="0" t="s">
        <v>3061</v>
      </c>
      <c r="F128" s="0" t="s">
        <v>2742</v>
      </c>
      <c r="G128" s="0" t="s">
        <v>3062</v>
      </c>
    </row>
    <row customHeight="1" ht="11.25">
      <c r="A129" s="543" t="s">
        <v>16</v>
      </c>
      <c r="B129" s="0" t="s">
        <v>3055</v>
      </c>
      <c r="C129" s="0" t="s">
        <v>3056</v>
      </c>
      <c r="D129" s="0" t="s">
        <v>3063</v>
      </c>
      <c r="E129" s="0" t="s">
        <v>3064</v>
      </c>
      <c r="F129" s="0" t="s">
        <v>2742</v>
      </c>
      <c r="G129" s="0" t="s">
        <v>3065</v>
      </c>
    </row>
    <row customHeight="1" ht="11.25">
      <c r="A130" s="543" t="s">
        <v>16</v>
      </c>
      <c r="B130" s="0" t="s">
        <v>3055</v>
      </c>
      <c r="C130" s="0" t="s">
        <v>3056</v>
      </c>
      <c r="D130" s="0" t="s">
        <v>3066</v>
      </c>
      <c r="E130" s="0" t="s">
        <v>3067</v>
      </c>
      <c r="F130" s="0" t="s">
        <v>2742</v>
      </c>
      <c r="G130" s="0" t="s">
        <v>3068</v>
      </c>
    </row>
    <row customHeight="1" ht="11.25">
      <c r="A131" s="543" t="s">
        <v>16</v>
      </c>
      <c r="B131" s="0" t="s">
        <v>3055</v>
      </c>
      <c r="C131" s="0" t="s">
        <v>3056</v>
      </c>
      <c r="D131" s="0" t="s">
        <v>3055</v>
      </c>
      <c r="E131" s="0" t="s">
        <v>3056</v>
      </c>
      <c r="F131" s="0" t="s">
        <v>2743</v>
      </c>
      <c r="G131" s="0" t="s">
        <v>3069</v>
      </c>
    </row>
    <row customHeight="1" ht="11.25">
      <c r="A132" s="543" t="s">
        <v>16</v>
      </c>
      <c r="B132" s="0" t="s">
        <v>3055</v>
      </c>
      <c r="C132" s="0" t="s">
        <v>3056</v>
      </c>
      <c r="D132" s="0" t="s">
        <v>3070</v>
      </c>
      <c r="E132" s="0" t="s">
        <v>3071</v>
      </c>
      <c r="F132" s="0" t="s">
        <v>2742</v>
      </c>
      <c r="G132" s="0" t="s">
        <v>3072</v>
      </c>
    </row>
    <row customHeight="1" ht="11.25">
      <c r="A133" s="543" t="s">
        <v>16</v>
      </c>
      <c r="B133" s="0" t="s">
        <v>3055</v>
      </c>
      <c r="C133" s="0" t="s">
        <v>3056</v>
      </c>
      <c r="D133" s="0" t="s">
        <v>3073</v>
      </c>
      <c r="E133" s="0" t="s">
        <v>3074</v>
      </c>
      <c r="F133" s="0" t="s">
        <v>2758</v>
      </c>
      <c r="G133" s="0" t="s">
        <v>3075</v>
      </c>
    </row>
    <row customHeight="1" ht="11.25">
      <c r="A134" s="543" t="s">
        <v>16</v>
      </c>
      <c r="B134" s="0" t="s">
        <v>3076</v>
      </c>
      <c r="C134" s="0" t="s">
        <v>3077</v>
      </c>
      <c r="D134" s="0" t="s">
        <v>3076</v>
      </c>
      <c r="E134" s="0" t="s">
        <v>3077</v>
      </c>
      <c r="F134" s="0" t="s">
        <v>3078</v>
      </c>
      <c r="G134" s="0" t="s">
        <v>3079</v>
      </c>
    </row>
    <row customHeight="1" ht="11.25">
      <c r="A135" s="543" t="s">
        <v>16</v>
      </c>
      <c r="B135" s="0" t="s">
        <v>99</v>
      </c>
      <c r="C135" s="0" t="s">
        <v>100</v>
      </c>
      <c r="D135" s="0" t="s">
        <v>99</v>
      </c>
      <c r="E135" s="0" t="s">
        <v>100</v>
      </c>
      <c r="F135" s="0" t="s">
        <v>3078</v>
      </c>
      <c r="G135" s="0" t="s">
        <v>98</v>
      </c>
    </row>
    <row customHeight="1" ht="11.25">
      <c r="A136" s="543" t="s">
        <v>16</v>
      </c>
      <c r="B136" s="0" t="s">
        <v>3080</v>
      </c>
      <c r="C136" s="0" t="s">
        <v>3081</v>
      </c>
      <c r="D136" s="0" t="s">
        <v>3080</v>
      </c>
      <c r="E136" s="0" t="s">
        <v>3081</v>
      </c>
      <c r="F136" s="0" t="s">
        <v>3078</v>
      </c>
      <c r="G136" s="0" t="s">
        <v>3082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8B1A7-6485-56A4-719A-F23F0004130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3444" width="13.8515625" customWidth="1"/>
    <col min="2" max="2" style="13444" width="10.421875" customWidth="1"/>
    <col min="3" max="3" style="13444" width="7.57421875" customWidth="1"/>
    <col min="4" max="4" style="13444" width="13.8515625" customWidth="1"/>
    <col min="5" max="5" style="13444" width="11.57421875" customWidth="1"/>
    <col min="6" max="6" style="13444" width="16.28125" customWidth="1"/>
    <col min="7" max="7" style="13444" width="16.00390625" customWidth="1"/>
    <col min="8" max="9" style="13444" width="16.140625" customWidth="1"/>
  </cols>
  <sheetData>
    <row customHeight="1" ht="11.25">
      <c r="A1" s="1005" t="s">
        <v>3083</v>
      </c>
      <c r="B1" s="1005" t="s">
        <v>3084</v>
      </c>
      <c r="C1" s="1329" t="s">
        <v>3085</v>
      </c>
      <c r="D1" s="1005" t="s">
        <v>3086</v>
      </c>
      <c r="E1" s="1005" t="s">
        <v>3087</v>
      </c>
      <c r="F1" s="1329" t="s">
        <v>3088</v>
      </c>
      <c r="G1" s="1329" t="s">
        <v>3089</v>
      </c>
      <c r="H1" s="1329" t="s">
        <v>3090</v>
      </c>
      <c r="I1" s="1329" t="s">
        <v>3091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FC9F3-DB36-00E4-78D2-9A9EFBB7BA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BD218-C1FB-E337-67B4-E43D38EC383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9553" width="9.140625" hidden="1" customWidth="1"/>
    <col min="2" max="2" style="9589" width="9.140625" hidden="1" customWidth="1"/>
    <col min="3" max="3" style="9755" width="3.00390625" customWidth="1"/>
    <col min="4" max="4" style="9589" width="5.00390625" customWidth="1"/>
    <col min="5" max="5" style="9589" width="48.00390625" customWidth="1"/>
    <col min="6" max="6" style="9589" width="38.00390625" customWidth="1"/>
    <col min="7" max="7" style="9589" width="1.7109375" hidden="1" customWidth="1"/>
    <col min="8" max="11" style="9589" width="19.8515625" hidden="1" customWidth="1"/>
    <col min="12" max="12" style="9589" width="9.7109375" hidden="1" customWidth="1"/>
    <col min="13" max="18" style="9589" width="19.8515625" hidden="1" customWidth="1"/>
    <col min="19" max="19" style="9589" width="1.7109375" hidden="1" customWidth="1"/>
    <col min="20" max="22" style="9589" width="19.8515625" hidden="1" customWidth="1"/>
    <col min="23" max="23" style="9589" width="1.7109375" hidden="1" customWidth="1"/>
    <col min="24" max="26" style="9589" width="19.8515625" customWidth="1"/>
    <col min="27" max="27" style="9589" width="1.7109375" hidden="1" customWidth="1"/>
    <col min="28" max="29" style="9589" width="19.8515625" hidden="1" customWidth="1"/>
    <col min="30" max="30" style="9589" width="1.7109375" hidden="1" customWidth="1"/>
    <col min="31" max="32" style="9589" width="103.7109375" hidden="1" customWidth="1"/>
    <col min="33" max="33" style="9589" width="103.7109375" customWidth="1"/>
    <col min="34" max="34" style="9589" width="103.7109375" hidden="1" customWidth="1"/>
    <col min="35" max="35" style="9682" width="3.00390625" customWidth="1"/>
    <col min="36" max="38" style="9667" width="10.00390625" customWidth="1"/>
    <col min="39" max="39" style="9667" width="13.7109375" hidden="1" customWidth="1"/>
    <col min="40" max="40" style="9667" width="15.00390625" customWidth="1"/>
    <col min="41" max="41" style="9667" width="16.00390625" customWidth="1"/>
    <col min="42" max="45" style="9667" width="10.00390625" customWidth="1"/>
    <col min="46" max="46" style="9589" width="10.57421875" hidden="1"/>
  </cols>
  <sheetData>
    <row customHeight="1" ht="22.5" hidden="1">
      <c r="E1" s="582"/>
      <c r="F1" s="582"/>
      <c r="G1" s="582"/>
      <c r="H1" s="2387" t="s">
        <v>355</v>
      </c>
      <c r="I1" s="2387"/>
      <c r="J1" s="2387"/>
      <c r="K1" s="2387"/>
      <c r="L1" s="2387"/>
      <c r="M1" s="2387"/>
      <c r="N1" s="2387"/>
      <c r="O1" s="2387"/>
      <c r="P1" s="2387"/>
      <c r="Q1" s="2387"/>
      <c r="R1" s="2387"/>
      <c r="T1" s="2387" t="s">
        <v>356</v>
      </c>
      <c r="U1" s="2387"/>
      <c r="V1" s="2387"/>
      <c r="X1" s="2387" t="s">
        <v>357</v>
      </c>
      <c r="Y1" s="2387"/>
      <c r="Z1" s="2387"/>
      <c r="AB1" s="2387" t="s">
        <v>358</v>
      </c>
      <c r="AC1" s="2387"/>
      <c r="AT1" s="617" t="s">
        <v>14</v>
      </c>
    </row>
    <row customHeight="1" ht="14.25" hidden="1">
      <c r="AT2" s="617">
        <v>0</v>
      </c>
    </row>
    <row s="10246" customFormat="1" customHeight="1" ht="5.25">
      <c r="C3" s="871"/>
      <c r="D3" s="872"/>
      <c r="E3" s="872"/>
      <c r="F3" s="872"/>
      <c r="G3" s="872"/>
      <c r="H3" s="872" t="s">
        <v>359</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холодное водоснабжение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9589" customFormat="1" customHeight="1" ht="18">
      <c r="A5" s="929"/>
      <c r="C5" s="992"/>
      <c r="D5" s="2384" t="str">
        <f>IF(org=0,"Не определено",org)</f>
        <v>МУП "Водоканал"</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9564"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303</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304</v>
      </c>
      <c r="AF7" s="2393" t="s">
        <v>304</v>
      </c>
      <c r="AG7" s="2393" t="s">
        <v>304</v>
      </c>
      <c r="AH7" s="2393" t="s">
        <v>304</v>
      </c>
      <c r="AT7" s="617">
        <v>14</v>
      </c>
    </row>
    <row customHeight="1" ht="27.299999999999997">
      <c r="C8" s="620"/>
      <c r="D8" s="2297" t="s">
        <v>87</v>
      </c>
      <c r="E8" s="2393" t="str">
        <f>"Наименование "&amp;IF(TEMPLATE_SPHERE&lt;&gt;"HEAT","централизованной ","")&amp;"системы "&amp;TEMPLATE_SPHERE_RUS</f>
        <v>Наименование централизованной системы холодного водоснабжения</v>
      </c>
      <c r="F8" s="2393" t="str">
        <f>IF(TEMPLATE_SPHERE&lt;&gt;"HEAT","Регулируемый вид деятельности","Вид регулируемой деятельности")</f>
        <v>Регулируемый вид деятельности</v>
      </c>
      <c r="G8" s="998"/>
      <c r="H8" s="2394" t="s">
        <v>360</v>
      </c>
      <c r="I8" s="2396" t="s">
        <v>361</v>
      </c>
      <c r="J8" s="2393" t="s">
        <v>362</v>
      </c>
      <c r="K8" s="2393"/>
      <c r="L8" s="2393"/>
      <c r="M8" s="2388"/>
      <c r="N8" s="2393" t="s">
        <v>363</v>
      </c>
      <c r="O8" s="2393"/>
      <c r="P8" s="2393" t="s">
        <v>364</v>
      </c>
      <c r="Q8" s="2393"/>
      <c r="R8" s="2400" t="s">
        <v>365</v>
      </c>
      <c r="S8" s="994"/>
      <c r="T8" s="2398" t="s">
        <v>366</v>
      </c>
      <c r="U8" s="2398" t="s">
        <v>367</v>
      </c>
      <c r="V8" s="2398" t="s">
        <v>368</v>
      </c>
      <c r="W8" s="996"/>
      <c r="X8" s="2398" t="s">
        <v>369</v>
      </c>
      <c r="Y8" s="2398" t="s">
        <v>370</v>
      </c>
      <c r="Z8" s="2398" t="s">
        <v>371</v>
      </c>
      <c r="AA8" s="996"/>
      <c r="AB8" s="2398" t="s">
        <v>372</v>
      </c>
      <c r="AC8" s="2398" t="s">
        <v>365</v>
      </c>
      <c r="AD8" s="996"/>
      <c r="AE8" s="2393"/>
      <c r="AF8" s="2393"/>
      <c r="AG8" s="2393"/>
      <c r="AH8" s="2393"/>
      <c r="AT8" s="617">
        <v>26</v>
      </c>
    </row>
    <row customHeight="1" ht="46.199999999999996">
      <c r="C9" s="620"/>
      <c r="D9" s="2297"/>
      <c r="E9" s="2393"/>
      <c r="F9" s="2393"/>
      <c r="G9" s="999"/>
      <c r="H9" s="2395"/>
      <c r="I9" s="2397"/>
      <c r="J9" s="595" t="s">
        <v>373</v>
      </c>
      <c r="K9" s="595" t="s">
        <v>374</v>
      </c>
      <c r="L9" s="595" t="s">
        <v>375</v>
      </c>
      <c r="M9" s="601" t="s">
        <v>376</v>
      </c>
      <c r="N9" s="595" t="s">
        <v>377</v>
      </c>
      <c r="O9" s="595" t="s">
        <v>376</v>
      </c>
      <c r="P9" s="595" t="s">
        <v>378</v>
      </c>
      <c r="Q9" s="595" t="s">
        <v>376</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10287" customFormat="1" customHeight="1" ht="11.25" hidden="1">
      <c r="C11" s="668"/>
      <c r="D11" s="669" t="s">
        <v>379</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108</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380</v>
      </c>
      <c r="AF12" s="2391" t="s">
        <v>381</v>
      </c>
      <c r="AG12" s="2391" t="s">
        <v>382</v>
      </c>
      <c r="AH12" s="2391" t="s">
        <v>383</v>
      </c>
      <c r="AI12" s="617"/>
      <c r="AM12" s="681"/>
      <c r="AP12" s="670" t="s">
        <v>384</v>
      </c>
      <c r="AQ12" s="670" t="s">
        <v>384</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81</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375BB-110F-FCC1-5457-8D76A858FF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447" width="9.140625"/>
  </cols>
  <sheetData>
    <row customHeight="1" ht="11.25">
      <c r="A1" s="353" t="s">
        <v>129</v>
      </c>
      <c r="B1" s="353" t="s">
        <v>3092</v>
      </c>
    </row>
    <row customHeight="1" ht="11.25">
      <c r="A2" s="9483" t="s">
        <v>97</v>
      </c>
      <c r="B2" s="9483" t="s">
        <v>3093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30568-A83A-FD73-983B-1C54188857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444" width="9.140625"/>
    <col min="2" max="2" style="13444" width="65.28125" customWidth="1"/>
  </cols>
  <sheetData>
    <row customHeight="1" ht="11.25">
      <c r="A1" s="1005" t="s">
        <v>3094</v>
      </c>
      <c r="B1" s="1005" t="s">
        <v>3095</v>
      </c>
    </row>
    <row customHeight="1" ht="11.25">
      <c r="A2" s="1005">
        <v>4213775</v>
      </c>
      <c r="B2" s="1005" t="s">
        <v>1238</v>
      </c>
    </row>
    <row customHeight="1" ht="11.25">
      <c r="A3" s="1005">
        <v>4213784</v>
      </c>
      <c r="B3" s="1005" t="s">
        <v>1271</v>
      </c>
    </row>
    <row customHeight="1" ht="11.25">
      <c r="A4" s="1005">
        <v>4213781</v>
      </c>
      <c r="B4" s="1005" t="s">
        <v>1264</v>
      </c>
    </row>
    <row customHeight="1" ht="11.25">
      <c r="A5" s="1005">
        <v>4213776</v>
      </c>
      <c r="B5" s="1005" t="s">
        <v>165</v>
      </c>
    </row>
    <row customHeight="1" ht="11.25">
      <c r="A6" s="1005">
        <v>4213777</v>
      </c>
      <c r="B6" s="1005" t="s">
        <v>171</v>
      </c>
    </row>
    <row customHeight="1" ht="11.25">
      <c r="A7" s="1005">
        <v>4213778</v>
      </c>
      <c r="B7" s="1005" t="s">
        <v>177</v>
      </c>
    </row>
    <row customHeight="1" ht="11.25">
      <c r="A8" s="1005">
        <v>4213780</v>
      </c>
      <c r="B8" s="1005" t="s">
        <v>183</v>
      </c>
    </row>
    <row customHeight="1" ht="11.25">
      <c r="A9" s="1005">
        <v>4213779</v>
      </c>
      <c r="B9" s="1005" t="s">
        <v>1400</v>
      </c>
    </row>
    <row customHeight="1" ht="11.25">
      <c r="A10" s="1005">
        <v>4213783</v>
      </c>
      <c r="B10" s="1005" t="s">
        <v>1415</v>
      </c>
    </row>
    <row customHeight="1" ht="11.25">
      <c r="A11" s="1005">
        <v>4213782</v>
      </c>
      <c r="B11" s="100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17CB7-62CC-B0B2-3717-A34EF582B23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3444" width="9.140625"/>
    <col min="2" max="2" style="13444" width="65.28125" customWidth="1"/>
  </cols>
  <sheetData>
    <row customHeight="1" ht="11.25">
      <c r="A1" s="1005" t="s">
        <v>3094</v>
      </c>
      <c r="B1" s="1005" t="s">
        <v>3096</v>
      </c>
    </row>
    <row customHeight="1" ht="11.25">
      <c r="A2" s="1005" t="s">
        <v>3097</v>
      </c>
      <c r="B2" s="1005" t="s">
        <v>222</v>
      </c>
    </row>
    <row customHeight="1" ht="11.25">
      <c r="A3" s="1005" t="s">
        <v>3098</v>
      </c>
      <c r="B3" s="1005" t="s">
        <v>1523</v>
      </c>
    </row>
    <row customHeight="1" ht="11.25">
      <c r="A4" s="1005" t="s">
        <v>3099</v>
      </c>
      <c r="B4" s="1005" t="s">
        <v>1532</v>
      </c>
    </row>
    <row customHeight="1" ht="11.25">
      <c r="A5" s="1005" t="s">
        <v>3100</v>
      </c>
      <c r="B5" s="1005" t="s">
        <v>1541</v>
      </c>
    </row>
    <row customHeight="1" ht="11.25">
      <c r="A6" s="1005" t="s">
        <v>3101</v>
      </c>
      <c r="B6" s="1005" t="s">
        <v>1547</v>
      </c>
    </row>
    <row customHeight="1" ht="11.25">
      <c r="A7" s="1005" t="s">
        <v>3102</v>
      </c>
      <c r="B7" s="1005" t="s">
        <v>1555</v>
      </c>
    </row>
    <row customHeight="1" ht="11.25">
      <c r="A8" s="1005" t="s">
        <v>3103</v>
      </c>
      <c r="B8" s="1005"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839F-AFBA-FE91-ACED-A04FCFD504CA}" mc:Ignorable="x14ac xr xr2 xr3">
  <sheetPr>
    <tabColor rgb="FFFFCC99"/>
  </sheetPr>
  <dimension ref="A1:G136"/>
  <sheetViews>
    <sheetView topLeftCell="A1" showGridLines="0" workbookViewId="0">
      <selection activeCell="A1" sqref="A1"/>
    </sheetView>
  </sheetViews>
  <sheetFormatPr customHeight="1" defaultRowHeight="11.25"/>
  <sheetData>
    <row customHeight="1" ht="11.25">
      <c r="A1" s="543" t="s">
        <v>2731</v>
      </c>
      <c r="B1" s="543" t="s">
        <v>2732</v>
      </c>
      <c r="C1" s="543" t="s">
        <v>2733</v>
      </c>
      <c r="D1" s="543" t="s">
        <v>2734</v>
      </c>
      <c r="E1" s="0" t="s">
        <v>2735</v>
      </c>
      <c r="F1" s="0" t="s">
        <v>2736</v>
      </c>
      <c r="G1" s="0" t="s">
        <v>2737</v>
      </c>
    </row>
    <row customHeight="1" ht="11.25">
      <c r="A2" s="0" t="s">
        <v>16</v>
      </c>
      <c r="B2" s="0" t="s">
        <v>2738</v>
      </c>
      <c r="C2" s="0" t="s">
        <v>2739</v>
      </c>
      <c r="D2" s="0" t="s">
        <v>2740</v>
      </c>
      <c r="E2" s="0" t="s">
        <v>2741</v>
      </c>
      <c r="F2" s="0" t="s">
        <v>2742</v>
      </c>
      <c r="G2" s="0" t="s">
        <v>108</v>
      </c>
    </row>
    <row customHeight="1" ht="11.25">
      <c r="A3" s="0" t="s">
        <v>16</v>
      </c>
      <c r="B3" s="0" t="s">
        <v>2738</v>
      </c>
      <c r="C3" s="0" t="s">
        <v>2739</v>
      </c>
      <c r="D3" s="0" t="s">
        <v>2738</v>
      </c>
      <c r="E3" s="0" t="s">
        <v>2739</v>
      </c>
      <c r="F3" s="0" t="s">
        <v>2743</v>
      </c>
      <c r="G3" s="0" t="s">
        <v>109</v>
      </c>
    </row>
    <row customHeight="1" ht="11.25">
      <c r="A4" s="0" t="s">
        <v>16</v>
      </c>
      <c r="B4" s="0" t="s">
        <v>2738</v>
      </c>
      <c r="C4" s="0" t="s">
        <v>2739</v>
      </c>
      <c r="D4" s="0" t="s">
        <v>2744</v>
      </c>
      <c r="E4" s="0" t="s">
        <v>2745</v>
      </c>
      <c r="F4" s="0" t="s">
        <v>2742</v>
      </c>
      <c r="G4" s="0" t="s">
        <v>89</v>
      </c>
    </row>
    <row customHeight="1" ht="11.25">
      <c r="A5" s="0" t="s">
        <v>16</v>
      </c>
      <c r="B5" s="0" t="s">
        <v>2738</v>
      </c>
      <c r="C5" s="0" t="s">
        <v>2739</v>
      </c>
      <c r="D5" s="0" t="s">
        <v>2746</v>
      </c>
      <c r="E5" s="0" t="s">
        <v>2747</v>
      </c>
      <c r="F5" s="0" t="s">
        <v>2742</v>
      </c>
      <c r="G5" s="0" t="s">
        <v>90</v>
      </c>
    </row>
    <row customHeight="1" ht="11.25">
      <c r="A6" s="0" t="s">
        <v>16</v>
      </c>
      <c r="B6" s="0" t="s">
        <v>2738</v>
      </c>
      <c r="C6" s="0" t="s">
        <v>2739</v>
      </c>
      <c r="D6" s="0" t="s">
        <v>2748</v>
      </c>
      <c r="E6" s="0" t="s">
        <v>2749</v>
      </c>
      <c r="F6" s="0" t="s">
        <v>2742</v>
      </c>
      <c r="G6" s="0" t="s">
        <v>110</v>
      </c>
    </row>
    <row customHeight="1" ht="11.25">
      <c r="A7" s="0" t="s">
        <v>16</v>
      </c>
      <c r="B7" s="0" t="s">
        <v>2738</v>
      </c>
      <c r="C7" s="0" t="s">
        <v>2739</v>
      </c>
      <c r="D7" s="0" t="s">
        <v>2750</v>
      </c>
      <c r="E7" s="0" t="s">
        <v>2751</v>
      </c>
      <c r="F7" s="0" t="s">
        <v>2742</v>
      </c>
      <c r="G7" s="0" t="s">
        <v>91</v>
      </c>
    </row>
    <row customHeight="1" ht="11.25">
      <c r="A8" s="0" t="s">
        <v>16</v>
      </c>
      <c r="B8" s="0" t="s">
        <v>2738</v>
      </c>
      <c r="C8" s="0" t="s">
        <v>2739</v>
      </c>
      <c r="D8" s="0" t="s">
        <v>2752</v>
      </c>
      <c r="E8" s="0" t="s">
        <v>2753</v>
      </c>
      <c r="F8" s="0" t="s">
        <v>2742</v>
      </c>
      <c r="G8" s="0" t="s">
        <v>92</v>
      </c>
    </row>
    <row customHeight="1" ht="11.25">
      <c r="A9" s="0" t="s">
        <v>16</v>
      </c>
      <c r="B9" s="0" t="s">
        <v>2738</v>
      </c>
      <c r="C9" s="0" t="s">
        <v>2739</v>
      </c>
      <c r="D9" s="0" t="s">
        <v>2754</v>
      </c>
      <c r="E9" s="0" t="s">
        <v>2755</v>
      </c>
      <c r="F9" s="0" t="s">
        <v>2742</v>
      </c>
      <c r="G9" s="0" t="s">
        <v>111</v>
      </c>
    </row>
    <row customHeight="1" ht="11.25">
      <c r="A10" s="0" t="s">
        <v>16</v>
      </c>
      <c r="B10" s="0" t="s">
        <v>2738</v>
      </c>
      <c r="C10" s="0" t="s">
        <v>2739</v>
      </c>
      <c r="D10" s="0" t="s">
        <v>2756</v>
      </c>
      <c r="E10" s="0" t="s">
        <v>2757</v>
      </c>
      <c r="F10" s="0" t="s">
        <v>2758</v>
      </c>
      <c r="G10" s="0" t="s">
        <v>147</v>
      </c>
    </row>
    <row customHeight="1" ht="11.25">
      <c r="A11" s="0" t="s">
        <v>16</v>
      </c>
      <c r="B11" s="0" t="s">
        <v>2759</v>
      </c>
      <c r="C11" s="0" t="s">
        <v>2760</v>
      </c>
      <c r="D11" s="0" t="s">
        <v>2761</v>
      </c>
      <c r="E11" s="0" t="s">
        <v>2762</v>
      </c>
      <c r="F11" s="0" t="s">
        <v>2742</v>
      </c>
      <c r="G11" s="0" t="s">
        <v>148</v>
      </c>
    </row>
    <row customHeight="1" ht="11.25">
      <c r="A12" s="0" t="s">
        <v>16</v>
      </c>
      <c r="B12" s="0" t="s">
        <v>2759</v>
      </c>
      <c r="C12" s="0" t="s">
        <v>2760</v>
      </c>
      <c r="D12" s="0" t="s">
        <v>2759</v>
      </c>
      <c r="E12" s="0" t="s">
        <v>2760</v>
      </c>
      <c r="F12" s="0" t="s">
        <v>2743</v>
      </c>
      <c r="G12" s="0" t="s">
        <v>149</v>
      </c>
    </row>
    <row customHeight="1" ht="11.25">
      <c r="A13" s="0" t="s">
        <v>16</v>
      </c>
      <c r="B13" s="0" t="s">
        <v>2759</v>
      </c>
      <c r="C13" s="0" t="s">
        <v>2760</v>
      </c>
      <c r="D13" s="0" t="s">
        <v>2763</v>
      </c>
      <c r="E13" s="0" t="s">
        <v>2764</v>
      </c>
      <c r="F13" s="0" t="s">
        <v>2742</v>
      </c>
      <c r="G13" s="0" t="s">
        <v>150</v>
      </c>
    </row>
    <row customHeight="1" ht="11.25">
      <c r="A14" s="0" t="s">
        <v>16</v>
      </c>
      <c r="B14" s="0" t="s">
        <v>2759</v>
      </c>
      <c r="C14" s="0" t="s">
        <v>2760</v>
      </c>
      <c r="D14" s="0" t="s">
        <v>2765</v>
      </c>
      <c r="E14" s="0" t="s">
        <v>2766</v>
      </c>
      <c r="F14" s="0" t="s">
        <v>2742</v>
      </c>
      <c r="G14" s="0" t="s">
        <v>151</v>
      </c>
    </row>
    <row customHeight="1" ht="11.25">
      <c r="A15" s="0" t="s">
        <v>16</v>
      </c>
      <c r="B15" s="0" t="s">
        <v>2759</v>
      </c>
      <c r="C15" s="0" t="s">
        <v>2760</v>
      </c>
      <c r="D15" s="0" t="s">
        <v>2767</v>
      </c>
      <c r="E15" s="0" t="s">
        <v>2768</v>
      </c>
      <c r="F15" s="0" t="s">
        <v>2742</v>
      </c>
      <c r="G15" s="0" t="s">
        <v>152</v>
      </c>
    </row>
    <row customHeight="1" ht="11.25">
      <c r="A16" s="0" t="s">
        <v>16</v>
      </c>
      <c r="B16" s="0" t="s">
        <v>2759</v>
      </c>
      <c r="C16" s="0" t="s">
        <v>2760</v>
      </c>
      <c r="D16" s="0" t="s">
        <v>2769</v>
      </c>
      <c r="E16" s="0" t="s">
        <v>2770</v>
      </c>
      <c r="F16" s="0" t="s">
        <v>2742</v>
      </c>
      <c r="G16" s="0" t="s">
        <v>1475</v>
      </c>
    </row>
    <row customHeight="1" ht="11.25">
      <c r="A17" s="0" t="s">
        <v>16</v>
      </c>
      <c r="B17" s="0" t="s">
        <v>2759</v>
      </c>
      <c r="C17" s="0" t="s">
        <v>2760</v>
      </c>
      <c r="D17" s="0" t="s">
        <v>2771</v>
      </c>
      <c r="E17" s="0" t="s">
        <v>2772</v>
      </c>
      <c r="F17" s="0" t="s">
        <v>2742</v>
      </c>
      <c r="G17" s="0" t="s">
        <v>1481</v>
      </c>
    </row>
    <row customHeight="1" ht="11.25">
      <c r="A18" s="0" t="s">
        <v>16</v>
      </c>
      <c r="B18" s="0" t="s">
        <v>2759</v>
      </c>
      <c r="C18" s="0" t="s">
        <v>2760</v>
      </c>
      <c r="D18" s="0" t="s">
        <v>2773</v>
      </c>
      <c r="E18" s="0" t="s">
        <v>2774</v>
      </c>
      <c r="F18" s="0" t="s">
        <v>2742</v>
      </c>
      <c r="G18" s="0" t="s">
        <v>1493</v>
      </c>
    </row>
    <row customHeight="1" ht="11.25">
      <c r="A19" s="0" t="s">
        <v>16</v>
      </c>
      <c r="B19" s="0" t="s">
        <v>2759</v>
      </c>
      <c r="C19" s="0" t="s">
        <v>2760</v>
      </c>
      <c r="D19" s="0" t="s">
        <v>2775</v>
      </c>
      <c r="E19" s="0" t="s">
        <v>2776</v>
      </c>
      <c r="F19" s="0" t="s">
        <v>2742</v>
      </c>
      <c r="G19" s="0" t="s">
        <v>1507</v>
      </c>
    </row>
    <row customHeight="1" ht="11.25">
      <c r="A20" s="0" t="s">
        <v>16</v>
      </c>
      <c r="B20" s="0" t="s">
        <v>2759</v>
      </c>
      <c r="C20" s="0" t="s">
        <v>2760</v>
      </c>
      <c r="D20" s="0" t="s">
        <v>2777</v>
      </c>
      <c r="E20" s="0" t="s">
        <v>2778</v>
      </c>
      <c r="F20" s="0" t="s">
        <v>2742</v>
      </c>
      <c r="G20" s="0" t="s">
        <v>1518</v>
      </c>
    </row>
    <row customHeight="1" ht="11.25">
      <c r="A21" s="0" t="s">
        <v>16</v>
      </c>
      <c r="B21" s="0" t="s">
        <v>2759</v>
      </c>
      <c r="C21" s="0" t="s">
        <v>2760</v>
      </c>
      <c r="D21" s="0" t="s">
        <v>2779</v>
      </c>
      <c r="E21" s="0" t="s">
        <v>2780</v>
      </c>
      <c r="F21" s="0" t="s">
        <v>2742</v>
      </c>
      <c r="G21" s="0" t="s">
        <v>1527</v>
      </c>
    </row>
    <row customHeight="1" ht="11.25">
      <c r="A22" s="0" t="s">
        <v>16</v>
      </c>
      <c r="B22" s="0" t="s">
        <v>2781</v>
      </c>
      <c r="C22" s="0" t="s">
        <v>2782</v>
      </c>
      <c r="D22" s="0" t="s">
        <v>2781</v>
      </c>
      <c r="E22" s="0" t="s">
        <v>2782</v>
      </c>
      <c r="F22" s="0" t="s">
        <v>2743</v>
      </c>
      <c r="G22" s="0" t="s">
        <v>1543</v>
      </c>
    </row>
    <row customHeight="1" ht="11.25">
      <c r="A23" s="0" t="s">
        <v>16</v>
      </c>
      <c r="B23" s="0" t="s">
        <v>2781</v>
      </c>
      <c r="C23" s="0" t="s">
        <v>2782</v>
      </c>
      <c r="D23" s="0" t="s">
        <v>2783</v>
      </c>
      <c r="E23" s="0" t="s">
        <v>2784</v>
      </c>
      <c r="F23" s="0" t="s">
        <v>2742</v>
      </c>
      <c r="G23" s="0" t="s">
        <v>1550</v>
      </c>
    </row>
    <row customHeight="1" ht="11.25">
      <c r="A24" s="0" t="s">
        <v>16</v>
      </c>
      <c r="B24" s="0" t="s">
        <v>2781</v>
      </c>
      <c r="C24" s="0" t="s">
        <v>2782</v>
      </c>
      <c r="D24" s="0" t="s">
        <v>2785</v>
      </c>
      <c r="E24" s="0" t="s">
        <v>2786</v>
      </c>
      <c r="F24" s="0" t="s">
        <v>2742</v>
      </c>
      <c r="G24" s="0" t="s">
        <v>1558</v>
      </c>
    </row>
    <row customHeight="1" ht="11.25">
      <c r="A25" s="0" t="s">
        <v>16</v>
      </c>
      <c r="B25" s="0" t="s">
        <v>2781</v>
      </c>
      <c r="C25" s="0" t="s">
        <v>2782</v>
      </c>
      <c r="D25" s="0" t="s">
        <v>2787</v>
      </c>
      <c r="E25" s="0" t="s">
        <v>2788</v>
      </c>
      <c r="F25" s="0" t="s">
        <v>2742</v>
      </c>
      <c r="G25" s="0" t="s">
        <v>1565</v>
      </c>
    </row>
    <row customHeight="1" ht="11.25">
      <c r="A26" s="0" t="s">
        <v>16</v>
      </c>
      <c r="B26" s="0" t="s">
        <v>2781</v>
      </c>
      <c r="C26" s="0" t="s">
        <v>2782</v>
      </c>
      <c r="D26" s="0" t="s">
        <v>2789</v>
      </c>
      <c r="E26" s="0" t="s">
        <v>2790</v>
      </c>
      <c r="F26" s="0" t="s">
        <v>2742</v>
      </c>
      <c r="G26" s="0" t="s">
        <v>1569</v>
      </c>
    </row>
    <row customHeight="1" ht="11.25">
      <c r="A27" s="0" t="s">
        <v>16</v>
      </c>
      <c r="B27" s="0" t="s">
        <v>2781</v>
      </c>
      <c r="C27" s="0" t="s">
        <v>2782</v>
      </c>
      <c r="D27" s="0" t="s">
        <v>2791</v>
      </c>
      <c r="E27" s="0" t="s">
        <v>2792</v>
      </c>
      <c r="F27" s="0" t="s">
        <v>2742</v>
      </c>
      <c r="G27" s="0" t="s">
        <v>1574</v>
      </c>
    </row>
    <row customHeight="1" ht="11.25">
      <c r="A28" s="0" t="s">
        <v>16</v>
      </c>
      <c r="B28" s="0" t="s">
        <v>2781</v>
      </c>
      <c r="C28" s="0" t="s">
        <v>2782</v>
      </c>
      <c r="D28" s="0" t="s">
        <v>2793</v>
      </c>
      <c r="E28" s="0" t="s">
        <v>2794</v>
      </c>
      <c r="F28" s="0" t="s">
        <v>2742</v>
      </c>
      <c r="G28" s="0" t="s">
        <v>1582</v>
      </c>
    </row>
    <row customHeight="1" ht="11.25">
      <c r="A29" s="0" t="s">
        <v>16</v>
      </c>
      <c r="B29" s="0" t="s">
        <v>2781</v>
      </c>
      <c r="C29" s="0" t="s">
        <v>2782</v>
      </c>
      <c r="D29" s="0" t="s">
        <v>2795</v>
      </c>
      <c r="E29" s="0" t="s">
        <v>2796</v>
      </c>
      <c r="F29" s="0" t="s">
        <v>2742</v>
      </c>
      <c r="G29" s="0" t="s">
        <v>1584</v>
      </c>
    </row>
    <row customHeight="1" ht="11.25">
      <c r="A30" s="0" t="s">
        <v>16</v>
      </c>
      <c r="B30" s="0" t="s">
        <v>2781</v>
      </c>
      <c r="C30" s="0" t="s">
        <v>2782</v>
      </c>
      <c r="D30" s="0" t="s">
        <v>2797</v>
      </c>
      <c r="E30" s="0" t="s">
        <v>2798</v>
      </c>
      <c r="F30" s="0" t="s">
        <v>2799</v>
      </c>
      <c r="G30" s="0" t="s">
        <v>1587</v>
      </c>
    </row>
    <row customHeight="1" ht="11.25">
      <c r="A31" s="0" t="s">
        <v>16</v>
      </c>
      <c r="B31" s="0" t="s">
        <v>2781</v>
      </c>
      <c r="C31" s="0" t="s">
        <v>2782</v>
      </c>
      <c r="D31" s="0" t="s">
        <v>2800</v>
      </c>
      <c r="E31" s="0" t="s">
        <v>2801</v>
      </c>
      <c r="F31" s="0" t="s">
        <v>2758</v>
      </c>
      <c r="G31" s="0" t="s">
        <v>1593</v>
      </c>
    </row>
    <row customHeight="1" ht="11.25">
      <c r="A32" s="0" t="s">
        <v>16</v>
      </c>
      <c r="B32" s="0" t="s">
        <v>2781</v>
      </c>
      <c r="C32" s="0" t="s">
        <v>2782</v>
      </c>
      <c r="D32" s="0" t="s">
        <v>2802</v>
      </c>
      <c r="E32" s="0" t="s">
        <v>2803</v>
      </c>
      <c r="F32" s="0" t="s">
        <v>2758</v>
      </c>
      <c r="G32" s="0" t="s">
        <v>1595</v>
      </c>
    </row>
    <row customHeight="1" ht="11.25">
      <c r="A33" s="0" t="s">
        <v>16</v>
      </c>
      <c r="B33" s="0" t="s">
        <v>2804</v>
      </c>
      <c r="C33" s="0" t="s">
        <v>2805</v>
      </c>
      <c r="D33" s="0" t="s">
        <v>2806</v>
      </c>
      <c r="E33" s="0" t="s">
        <v>2807</v>
      </c>
      <c r="F33" s="0" t="s">
        <v>2742</v>
      </c>
      <c r="G33" s="0" t="s">
        <v>1597</v>
      </c>
    </row>
    <row customHeight="1" ht="11.25">
      <c r="A34" s="0" t="s">
        <v>16</v>
      </c>
      <c r="B34" s="0" t="s">
        <v>2804</v>
      </c>
      <c r="C34" s="0" t="s">
        <v>2805</v>
      </c>
      <c r="D34" s="0" t="s">
        <v>2808</v>
      </c>
      <c r="E34" s="0" t="s">
        <v>2809</v>
      </c>
      <c r="F34" s="0" t="s">
        <v>2742</v>
      </c>
      <c r="G34" s="0" t="s">
        <v>1599</v>
      </c>
    </row>
    <row customHeight="1" ht="11.25">
      <c r="A35" s="0" t="s">
        <v>16</v>
      </c>
      <c r="B35" s="0" t="s">
        <v>2804</v>
      </c>
      <c r="C35" s="0" t="s">
        <v>2805</v>
      </c>
      <c r="D35" s="0" t="s">
        <v>2804</v>
      </c>
      <c r="E35" s="0" t="s">
        <v>2805</v>
      </c>
      <c r="F35" s="0" t="s">
        <v>2743</v>
      </c>
      <c r="G35" s="0" t="s">
        <v>1604</v>
      </c>
    </row>
    <row customHeight="1" ht="11.25">
      <c r="A36" s="0" t="s">
        <v>16</v>
      </c>
      <c r="B36" s="0" t="s">
        <v>2804</v>
      </c>
      <c r="C36" s="0" t="s">
        <v>2805</v>
      </c>
      <c r="D36" s="0" t="s">
        <v>2810</v>
      </c>
      <c r="E36" s="0" t="s">
        <v>2811</v>
      </c>
      <c r="F36" s="0" t="s">
        <v>2742</v>
      </c>
      <c r="G36" s="0" t="s">
        <v>1609</v>
      </c>
    </row>
    <row customHeight="1" ht="11.25">
      <c r="A37" s="0" t="s">
        <v>16</v>
      </c>
      <c r="B37" s="0" t="s">
        <v>2804</v>
      </c>
      <c r="C37" s="0" t="s">
        <v>2805</v>
      </c>
      <c r="D37" s="0" t="s">
        <v>2812</v>
      </c>
      <c r="E37" s="0" t="s">
        <v>2813</v>
      </c>
      <c r="F37" s="0" t="s">
        <v>2742</v>
      </c>
      <c r="G37" s="0" t="s">
        <v>1613</v>
      </c>
    </row>
    <row customHeight="1" ht="11.25">
      <c r="A38" s="0" t="s">
        <v>16</v>
      </c>
      <c r="B38" s="0" t="s">
        <v>2804</v>
      </c>
      <c r="C38" s="0" t="s">
        <v>2805</v>
      </c>
      <c r="D38" s="0" t="s">
        <v>2814</v>
      </c>
      <c r="E38" s="0" t="s">
        <v>2815</v>
      </c>
      <c r="F38" s="0" t="s">
        <v>2742</v>
      </c>
      <c r="G38" s="0" t="s">
        <v>1621</v>
      </c>
    </row>
    <row customHeight="1" ht="11.25">
      <c r="A39" s="0" t="s">
        <v>16</v>
      </c>
      <c r="B39" s="0" t="s">
        <v>2804</v>
      </c>
      <c r="C39" s="0" t="s">
        <v>2805</v>
      </c>
      <c r="D39" s="0" t="s">
        <v>2816</v>
      </c>
      <c r="E39" s="0" t="s">
        <v>2817</v>
      </c>
      <c r="F39" s="0" t="s">
        <v>2758</v>
      </c>
      <c r="G39" s="0" t="s">
        <v>1627</v>
      </c>
    </row>
    <row customHeight="1" ht="11.25">
      <c r="A40" s="0" t="s">
        <v>16</v>
      </c>
      <c r="B40" s="0" t="s">
        <v>2818</v>
      </c>
      <c r="C40" s="0" t="s">
        <v>2819</v>
      </c>
      <c r="D40" s="0" t="s">
        <v>2820</v>
      </c>
      <c r="E40" s="0" t="s">
        <v>2821</v>
      </c>
      <c r="F40" s="0" t="s">
        <v>2742</v>
      </c>
      <c r="G40" s="0" t="s">
        <v>1632</v>
      </c>
    </row>
    <row customHeight="1" ht="11.25">
      <c r="A41" s="0" t="s">
        <v>16</v>
      </c>
      <c r="B41" s="0" t="s">
        <v>2818</v>
      </c>
      <c r="C41" s="0" t="s">
        <v>2819</v>
      </c>
      <c r="D41" s="0" t="s">
        <v>2818</v>
      </c>
      <c r="E41" s="0" t="s">
        <v>2819</v>
      </c>
      <c r="F41" s="0" t="s">
        <v>2743</v>
      </c>
      <c r="G41" s="0" t="s">
        <v>1636</v>
      </c>
    </row>
    <row customHeight="1" ht="11.25">
      <c r="A42" s="0" t="s">
        <v>16</v>
      </c>
      <c r="B42" s="0" t="s">
        <v>2818</v>
      </c>
      <c r="C42" s="0" t="s">
        <v>2819</v>
      </c>
      <c r="D42" s="0" t="s">
        <v>2822</v>
      </c>
      <c r="E42" s="0" t="s">
        <v>2823</v>
      </c>
      <c r="F42" s="0" t="s">
        <v>2742</v>
      </c>
      <c r="G42" s="0" t="s">
        <v>1639</v>
      </c>
    </row>
    <row customHeight="1" ht="11.25">
      <c r="A43" s="0" t="s">
        <v>16</v>
      </c>
      <c r="B43" s="0" t="s">
        <v>2818</v>
      </c>
      <c r="C43" s="0" t="s">
        <v>2819</v>
      </c>
      <c r="D43" s="0" t="s">
        <v>2824</v>
      </c>
      <c r="E43" s="0" t="s">
        <v>2825</v>
      </c>
      <c r="F43" s="0" t="s">
        <v>2742</v>
      </c>
      <c r="G43" s="0" t="s">
        <v>1646</v>
      </c>
    </row>
    <row customHeight="1" ht="11.25">
      <c r="A44" s="0" t="s">
        <v>16</v>
      </c>
      <c r="B44" s="0" t="s">
        <v>2818</v>
      </c>
      <c r="C44" s="0" t="s">
        <v>2819</v>
      </c>
      <c r="D44" s="0" t="s">
        <v>2826</v>
      </c>
      <c r="E44" s="0" t="s">
        <v>2827</v>
      </c>
      <c r="F44" s="0" t="s">
        <v>2742</v>
      </c>
      <c r="G44" s="0" t="s">
        <v>1655</v>
      </c>
    </row>
    <row customHeight="1" ht="11.25">
      <c r="A45" s="0" t="s">
        <v>16</v>
      </c>
      <c r="B45" s="0" t="s">
        <v>2818</v>
      </c>
      <c r="C45" s="0" t="s">
        <v>2819</v>
      </c>
      <c r="D45" s="0" t="s">
        <v>2828</v>
      </c>
      <c r="E45" s="0" t="s">
        <v>2829</v>
      </c>
      <c r="F45" s="0" t="s">
        <v>2742</v>
      </c>
      <c r="G45" s="0" t="s">
        <v>1660</v>
      </c>
    </row>
    <row customHeight="1" ht="11.25">
      <c r="A46" s="0" t="s">
        <v>16</v>
      </c>
      <c r="B46" s="0" t="s">
        <v>2818</v>
      </c>
      <c r="C46" s="0" t="s">
        <v>2819</v>
      </c>
      <c r="D46" s="0" t="s">
        <v>2830</v>
      </c>
      <c r="E46" s="0" t="s">
        <v>2831</v>
      </c>
      <c r="F46" s="0" t="s">
        <v>2742</v>
      </c>
      <c r="G46" s="0" t="s">
        <v>1664</v>
      </c>
    </row>
    <row customHeight="1" ht="11.25">
      <c r="A47" s="0" t="s">
        <v>16</v>
      </c>
      <c r="B47" s="0" t="s">
        <v>2818</v>
      </c>
      <c r="C47" s="0" t="s">
        <v>2819</v>
      </c>
      <c r="D47" s="0" t="s">
        <v>2832</v>
      </c>
      <c r="E47" s="0" t="s">
        <v>2833</v>
      </c>
      <c r="F47" s="0" t="s">
        <v>2742</v>
      </c>
      <c r="G47" s="0" t="s">
        <v>1670</v>
      </c>
    </row>
    <row customHeight="1" ht="11.25">
      <c r="A48" s="0" t="s">
        <v>16</v>
      </c>
      <c r="B48" s="0" t="s">
        <v>2818</v>
      </c>
      <c r="C48" s="0" t="s">
        <v>2819</v>
      </c>
      <c r="D48" s="0" t="s">
        <v>2834</v>
      </c>
      <c r="E48" s="0" t="s">
        <v>2835</v>
      </c>
      <c r="F48" s="0" t="s">
        <v>2742</v>
      </c>
      <c r="G48" s="0" t="s">
        <v>1675</v>
      </c>
    </row>
    <row customHeight="1" ht="11.25">
      <c r="A49" s="0" t="s">
        <v>16</v>
      </c>
      <c r="B49" s="0" t="s">
        <v>2818</v>
      </c>
      <c r="C49" s="0" t="s">
        <v>2819</v>
      </c>
      <c r="D49" s="0" t="s">
        <v>2836</v>
      </c>
      <c r="E49" s="0" t="s">
        <v>2837</v>
      </c>
      <c r="F49" s="0" t="s">
        <v>2758</v>
      </c>
      <c r="G49" s="0" t="s">
        <v>1678</v>
      </c>
    </row>
    <row customHeight="1" ht="11.25">
      <c r="A50" s="0" t="s">
        <v>16</v>
      </c>
      <c r="B50" s="0" t="s">
        <v>2838</v>
      </c>
      <c r="C50" s="0" t="s">
        <v>2839</v>
      </c>
      <c r="D50" s="0" t="s">
        <v>2840</v>
      </c>
      <c r="E50" s="0" t="s">
        <v>2841</v>
      </c>
      <c r="F50" s="0" t="s">
        <v>2742</v>
      </c>
      <c r="G50" s="0" t="s">
        <v>1681</v>
      </c>
    </row>
    <row customHeight="1" ht="11.25">
      <c r="A51" s="0" t="s">
        <v>16</v>
      </c>
      <c r="B51" s="0" t="s">
        <v>2838</v>
      </c>
      <c r="C51" s="0" t="s">
        <v>2839</v>
      </c>
      <c r="D51" s="0" t="s">
        <v>2842</v>
      </c>
      <c r="E51" s="0" t="s">
        <v>2843</v>
      </c>
      <c r="F51" s="0" t="s">
        <v>2742</v>
      </c>
      <c r="G51" s="0" t="s">
        <v>1686</v>
      </c>
    </row>
    <row customHeight="1" ht="11.25">
      <c r="A52" s="0" t="s">
        <v>16</v>
      </c>
      <c r="B52" s="0" t="s">
        <v>2838</v>
      </c>
      <c r="C52" s="0" t="s">
        <v>2839</v>
      </c>
      <c r="D52" s="0" t="s">
        <v>2844</v>
      </c>
      <c r="E52" s="0" t="s">
        <v>2845</v>
      </c>
      <c r="F52" s="0" t="s">
        <v>2742</v>
      </c>
      <c r="G52" s="0" t="s">
        <v>1690</v>
      </c>
    </row>
    <row customHeight="1" ht="11.25">
      <c r="A53" s="0" t="s">
        <v>16</v>
      </c>
      <c r="B53" s="0" t="s">
        <v>2838</v>
      </c>
      <c r="C53" s="0" t="s">
        <v>2839</v>
      </c>
      <c r="D53" s="0" t="s">
        <v>2838</v>
      </c>
      <c r="E53" s="0" t="s">
        <v>2839</v>
      </c>
      <c r="F53" s="0" t="s">
        <v>2743</v>
      </c>
      <c r="G53" s="0" t="s">
        <v>1692</v>
      </c>
    </row>
    <row customHeight="1" ht="11.25">
      <c r="A54" s="0" t="s">
        <v>16</v>
      </c>
      <c r="B54" s="0" t="s">
        <v>2838</v>
      </c>
      <c r="C54" s="0" t="s">
        <v>2839</v>
      </c>
      <c r="D54" s="0" t="s">
        <v>2846</v>
      </c>
      <c r="E54" s="0" t="s">
        <v>2847</v>
      </c>
      <c r="F54" s="0" t="s">
        <v>2742</v>
      </c>
      <c r="G54" s="0" t="s">
        <v>1695</v>
      </c>
    </row>
    <row customHeight="1" ht="11.25">
      <c r="A55" s="0" t="s">
        <v>16</v>
      </c>
      <c r="B55" s="0" t="s">
        <v>2838</v>
      </c>
      <c r="C55" s="0" t="s">
        <v>2839</v>
      </c>
      <c r="D55" s="0" t="s">
        <v>2848</v>
      </c>
      <c r="E55" s="0" t="s">
        <v>2849</v>
      </c>
      <c r="F55" s="0" t="s">
        <v>2742</v>
      </c>
      <c r="G55" s="0" t="s">
        <v>1699</v>
      </c>
    </row>
    <row customHeight="1" ht="11.25">
      <c r="A56" s="0" t="s">
        <v>16</v>
      </c>
      <c r="B56" s="0" t="s">
        <v>2838</v>
      </c>
      <c r="C56" s="0" t="s">
        <v>2839</v>
      </c>
      <c r="D56" s="0" t="s">
        <v>2850</v>
      </c>
      <c r="E56" s="0" t="s">
        <v>2851</v>
      </c>
      <c r="F56" s="0" t="s">
        <v>2758</v>
      </c>
      <c r="G56" s="0" t="s">
        <v>1702</v>
      </c>
    </row>
    <row customHeight="1" ht="11.25">
      <c r="A57" s="0" t="s">
        <v>16</v>
      </c>
      <c r="B57" s="0" t="s">
        <v>2852</v>
      </c>
      <c r="C57" s="0" t="s">
        <v>2853</v>
      </c>
      <c r="D57" s="0" t="s">
        <v>2854</v>
      </c>
      <c r="E57" s="0" t="s">
        <v>2855</v>
      </c>
      <c r="F57" s="0" t="s">
        <v>2742</v>
      </c>
      <c r="G57" s="0" t="s">
        <v>1705</v>
      </c>
    </row>
    <row customHeight="1" ht="11.25">
      <c r="A58" s="0" t="s">
        <v>16</v>
      </c>
      <c r="B58" s="0" t="s">
        <v>2852</v>
      </c>
      <c r="C58" s="0" t="s">
        <v>2853</v>
      </c>
      <c r="D58" s="0" t="s">
        <v>2856</v>
      </c>
      <c r="E58" s="0" t="s">
        <v>2857</v>
      </c>
      <c r="F58" s="0" t="s">
        <v>2742</v>
      </c>
      <c r="G58" s="0" t="s">
        <v>1708</v>
      </c>
    </row>
    <row customHeight="1" ht="11.25">
      <c r="A59" s="0" t="s">
        <v>16</v>
      </c>
      <c r="B59" s="0" t="s">
        <v>2852</v>
      </c>
      <c r="C59" s="0" t="s">
        <v>2853</v>
      </c>
      <c r="D59" s="0" t="s">
        <v>2858</v>
      </c>
      <c r="E59" s="0" t="s">
        <v>2859</v>
      </c>
      <c r="F59" s="0" t="s">
        <v>2742</v>
      </c>
      <c r="G59" s="0" t="s">
        <v>1712</v>
      </c>
    </row>
    <row customHeight="1" ht="11.25">
      <c r="A60" s="0" t="s">
        <v>16</v>
      </c>
      <c r="B60" s="0" t="s">
        <v>2852</v>
      </c>
      <c r="C60" s="0" t="s">
        <v>2853</v>
      </c>
      <c r="D60" s="0" t="s">
        <v>2860</v>
      </c>
      <c r="E60" s="0" t="s">
        <v>2861</v>
      </c>
      <c r="F60" s="0" t="s">
        <v>2742</v>
      </c>
      <c r="G60" s="0" t="s">
        <v>1714</v>
      </c>
    </row>
    <row customHeight="1" ht="11.25">
      <c r="A61" s="0" t="s">
        <v>16</v>
      </c>
      <c r="B61" s="0" t="s">
        <v>2852</v>
      </c>
      <c r="C61" s="0" t="s">
        <v>2853</v>
      </c>
      <c r="D61" s="0" t="s">
        <v>2769</v>
      </c>
      <c r="E61" s="0" t="s">
        <v>2862</v>
      </c>
      <c r="F61" s="0" t="s">
        <v>2742</v>
      </c>
      <c r="G61" s="0" t="s">
        <v>2863</v>
      </c>
    </row>
    <row customHeight="1" ht="11.25">
      <c r="A62" s="0" t="s">
        <v>16</v>
      </c>
      <c r="B62" s="0" t="s">
        <v>2852</v>
      </c>
      <c r="C62" s="0" t="s">
        <v>2853</v>
      </c>
      <c r="D62" s="0" t="s">
        <v>2864</v>
      </c>
      <c r="E62" s="0" t="s">
        <v>2865</v>
      </c>
      <c r="F62" s="0" t="s">
        <v>2742</v>
      </c>
      <c r="G62" s="0" t="s">
        <v>2866</v>
      </c>
    </row>
    <row customHeight="1" ht="11.25">
      <c r="A63" s="0" t="s">
        <v>16</v>
      </c>
      <c r="B63" s="0" t="s">
        <v>2852</v>
      </c>
      <c r="C63" s="0" t="s">
        <v>2853</v>
      </c>
      <c r="D63" s="0" t="s">
        <v>2867</v>
      </c>
      <c r="E63" s="0" t="s">
        <v>2868</v>
      </c>
      <c r="F63" s="0" t="s">
        <v>2742</v>
      </c>
      <c r="G63" s="0" t="s">
        <v>2869</v>
      </c>
    </row>
    <row customHeight="1" ht="11.25">
      <c r="A64" s="0" t="s">
        <v>16</v>
      </c>
      <c r="B64" s="0" t="s">
        <v>2852</v>
      </c>
      <c r="C64" s="0" t="s">
        <v>2853</v>
      </c>
      <c r="D64" s="0" t="s">
        <v>2870</v>
      </c>
      <c r="E64" s="0" t="s">
        <v>2871</v>
      </c>
      <c r="F64" s="0" t="s">
        <v>2742</v>
      </c>
      <c r="G64" s="0" t="s">
        <v>2872</v>
      </c>
    </row>
    <row customHeight="1" ht="11.25">
      <c r="A65" s="0" t="s">
        <v>16</v>
      </c>
      <c r="B65" s="0" t="s">
        <v>2852</v>
      </c>
      <c r="C65" s="0" t="s">
        <v>2853</v>
      </c>
      <c r="D65" s="0" t="s">
        <v>2852</v>
      </c>
      <c r="E65" s="0" t="s">
        <v>2853</v>
      </c>
      <c r="F65" s="0" t="s">
        <v>2743</v>
      </c>
      <c r="G65" s="0" t="s">
        <v>2873</v>
      </c>
    </row>
    <row customHeight="1" ht="11.25">
      <c r="A66" s="0" t="s">
        <v>16</v>
      </c>
      <c r="B66" s="0" t="s">
        <v>2852</v>
      </c>
      <c r="C66" s="0" t="s">
        <v>2853</v>
      </c>
      <c r="D66" s="0" t="s">
        <v>2874</v>
      </c>
      <c r="E66" s="0" t="s">
        <v>2875</v>
      </c>
      <c r="F66" s="0" t="s">
        <v>2742</v>
      </c>
      <c r="G66" s="0" t="s">
        <v>2876</v>
      </c>
    </row>
    <row customHeight="1" ht="11.25">
      <c r="A67" s="0" t="s">
        <v>16</v>
      </c>
      <c r="B67" s="0" t="s">
        <v>2852</v>
      </c>
      <c r="C67" s="0" t="s">
        <v>2853</v>
      </c>
      <c r="D67" s="0" t="s">
        <v>2877</v>
      </c>
      <c r="E67" s="0" t="s">
        <v>2878</v>
      </c>
      <c r="F67" s="0" t="s">
        <v>2742</v>
      </c>
      <c r="G67" s="0" t="s">
        <v>2033</v>
      </c>
    </row>
    <row customHeight="1" ht="11.25">
      <c r="A68" s="0" t="s">
        <v>16</v>
      </c>
      <c r="B68" s="0" t="s">
        <v>2852</v>
      </c>
      <c r="C68" s="0" t="s">
        <v>2853</v>
      </c>
      <c r="D68" s="0" t="s">
        <v>2879</v>
      </c>
      <c r="E68" s="0" t="s">
        <v>2880</v>
      </c>
      <c r="F68" s="0" t="s">
        <v>2742</v>
      </c>
      <c r="G68" s="0" t="s">
        <v>2881</v>
      </c>
    </row>
    <row customHeight="1" ht="11.25">
      <c r="A69" s="0" t="s">
        <v>16</v>
      </c>
      <c r="B69" s="0" t="s">
        <v>2852</v>
      </c>
      <c r="C69" s="0" t="s">
        <v>2853</v>
      </c>
      <c r="D69" s="0" t="s">
        <v>2882</v>
      </c>
      <c r="E69" s="0" t="s">
        <v>2883</v>
      </c>
      <c r="F69" s="0" t="s">
        <v>2742</v>
      </c>
      <c r="G69" s="0" t="s">
        <v>2236</v>
      </c>
    </row>
    <row customHeight="1" ht="11.25">
      <c r="A70" s="0" t="s">
        <v>16</v>
      </c>
      <c r="B70" s="0" t="s">
        <v>2852</v>
      </c>
      <c r="C70" s="0" t="s">
        <v>2853</v>
      </c>
      <c r="D70" s="0" t="s">
        <v>2884</v>
      </c>
      <c r="E70" s="0" t="s">
        <v>2885</v>
      </c>
      <c r="F70" s="0" t="s">
        <v>2742</v>
      </c>
      <c r="G70" s="0" t="s">
        <v>2886</v>
      </c>
    </row>
    <row customHeight="1" ht="11.25">
      <c r="A71" s="0" t="s">
        <v>16</v>
      </c>
      <c r="B71" s="0" t="s">
        <v>2852</v>
      </c>
      <c r="C71" s="0" t="s">
        <v>2853</v>
      </c>
      <c r="D71" s="0" t="s">
        <v>2887</v>
      </c>
      <c r="E71" s="0" t="s">
        <v>2888</v>
      </c>
      <c r="F71" s="0" t="s">
        <v>2742</v>
      </c>
      <c r="G71" s="0" t="s">
        <v>2889</v>
      </c>
    </row>
    <row customHeight="1" ht="11.25">
      <c r="A72" s="0" t="s">
        <v>16</v>
      </c>
      <c r="B72" s="0" t="s">
        <v>2852</v>
      </c>
      <c r="C72" s="0" t="s">
        <v>2853</v>
      </c>
      <c r="D72" s="0" t="s">
        <v>2890</v>
      </c>
      <c r="E72" s="0" t="s">
        <v>2891</v>
      </c>
      <c r="F72" s="0" t="s">
        <v>2742</v>
      </c>
      <c r="G72" s="0" t="s">
        <v>2892</v>
      </c>
    </row>
    <row customHeight="1" ht="11.25">
      <c r="A73" s="0" t="s">
        <v>16</v>
      </c>
      <c r="B73" s="0" t="s">
        <v>2852</v>
      </c>
      <c r="C73" s="0" t="s">
        <v>2853</v>
      </c>
      <c r="D73" s="0" t="s">
        <v>2893</v>
      </c>
      <c r="E73" s="0" t="s">
        <v>2894</v>
      </c>
      <c r="F73" s="0" t="s">
        <v>2742</v>
      </c>
      <c r="G73" s="0" t="s">
        <v>2895</v>
      </c>
    </row>
    <row customHeight="1" ht="11.25">
      <c r="A74" s="0" t="s">
        <v>16</v>
      </c>
      <c r="B74" s="0" t="s">
        <v>2852</v>
      </c>
      <c r="C74" s="0" t="s">
        <v>2853</v>
      </c>
      <c r="D74" s="0" t="s">
        <v>2896</v>
      </c>
      <c r="E74" s="0" t="s">
        <v>2897</v>
      </c>
      <c r="F74" s="0" t="s">
        <v>2758</v>
      </c>
      <c r="G74" s="0" t="s">
        <v>2898</v>
      </c>
    </row>
    <row customHeight="1" ht="11.25">
      <c r="A75" s="0" t="s">
        <v>16</v>
      </c>
      <c r="B75" s="0" t="s">
        <v>2852</v>
      </c>
      <c r="C75" s="0" t="s">
        <v>2853</v>
      </c>
      <c r="D75" s="0" t="s">
        <v>2899</v>
      </c>
      <c r="E75" s="0" t="s">
        <v>2900</v>
      </c>
      <c r="F75" s="0" t="s">
        <v>2758</v>
      </c>
      <c r="G75" s="0" t="s">
        <v>2901</v>
      </c>
    </row>
    <row customHeight="1" ht="11.25">
      <c r="A76" s="0" t="s">
        <v>16</v>
      </c>
      <c r="B76" s="0" t="s">
        <v>2902</v>
      </c>
      <c r="C76" s="0" t="s">
        <v>2903</v>
      </c>
      <c r="D76" s="0" t="s">
        <v>2904</v>
      </c>
      <c r="E76" s="0" t="s">
        <v>2905</v>
      </c>
      <c r="F76" s="0" t="s">
        <v>2742</v>
      </c>
      <c r="G76" s="0" t="s">
        <v>2906</v>
      </c>
    </row>
    <row customHeight="1" ht="11.25">
      <c r="A77" s="0" t="s">
        <v>16</v>
      </c>
      <c r="B77" s="0" t="s">
        <v>2902</v>
      </c>
      <c r="C77" s="0" t="s">
        <v>2903</v>
      </c>
      <c r="D77" s="0" t="s">
        <v>2907</v>
      </c>
      <c r="E77" s="0" t="s">
        <v>2908</v>
      </c>
      <c r="F77" s="0" t="s">
        <v>2742</v>
      </c>
      <c r="G77" s="0" t="s">
        <v>2909</v>
      </c>
    </row>
    <row customHeight="1" ht="11.25">
      <c r="A78" s="0" t="s">
        <v>16</v>
      </c>
      <c r="B78" s="0" t="s">
        <v>2902</v>
      </c>
      <c r="C78" s="0" t="s">
        <v>2903</v>
      </c>
      <c r="D78" s="0" t="s">
        <v>2910</v>
      </c>
      <c r="E78" s="0" t="s">
        <v>2911</v>
      </c>
      <c r="F78" s="0" t="s">
        <v>2742</v>
      </c>
      <c r="G78" s="0" t="s">
        <v>2912</v>
      </c>
    </row>
    <row customHeight="1" ht="11.25">
      <c r="A79" s="0" t="s">
        <v>16</v>
      </c>
      <c r="B79" s="0" t="s">
        <v>2902</v>
      </c>
      <c r="C79" s="0" t="s">
        <v>2903</v>
      </c>
      <c r="D79" s="0" t="s">
        <v>2902</v>
      </c>
      <c r="E79" s="0" t="s">
        <v>2903</v>
      </c>
      <c r="F79" s="0" t="s">
        <v>2743</v>
      </c>
      <c r="G79" s="0" t="s">
        <v>2913</v>
      </c>
    </row>
    <row customHeight="1" ht="11.25">
      <c r="A80" s="0" t="s">
        <v>16</v>
      </c>
      <c r="B80" s="0" t="s">
        <v>2902</v>
      </c>
      <c r="C80" s="0" t="s">
        <v>2903</v>
      </c>
      <c r="D80" s="0" t="s">
        <v>2914</v>
      </c>
      <c r="E80" s="0" t="s">
        <v>2915</v>
      </c>
      <c r="F80" s="0" t="s">
        <v>2742</v>
      </c>
      <c r="G80" s="0" t="s">
        <v>2916</v>
      </c>
    </row>
    <row customHeight="1" ht="11.25">
      <c r="A81" s="0" t="s">
        <v>16</v>
      </c>
      <c r="B81" s="0" t="s">
        <v>2902</v>
      </c>
      <c r="C81" s="0" t="s">
        <v>2903</v>
      </c>
      <c r="D81" s="0" t="s">
        <v>2917</v>
      </c>
      <c r="E81" s="0" t="s">
        <v>2918</v>
      </c>
      <c r="F81" s="0" t="s">
        <v>2742</v>
      </c>
      <c r="G81" s="0" t="s">
        <v>2919</v>
      </c>
    </row>
    <row customHeight="1" ht="11.25">
      <c r="A82" s="0" t="s">
        <v>16</v>
      </c>
      <c r="B82" s="0" t="s">
        <v>2902</v>
      </c>
      <c r="C82" s="0" t="s">
        <v>2903</v>
      </c>
      <c r="D82" s="0" t="s">
        <v>2920</v>
      </c>
      <c r="E82" s="0" t="s">
        <v>2921</v>
      </c>
      <c r="F82" s="0" t="s">
        <v>2742</v>
      </c>
      <c r="G82" s="0" t="s">
        <v>2922</v>
      </c>
    </row>
    <row customHeight="1" ht="11.25">
      <c r="A83" s="0" t="s">
        <v>16</v>
      </c>
      <c r="B83" s="0" t="s">
        <v>2902</v>
      </c>
      <c r="C83" s="0" t="s">
        <v>2903</v>
      </c>
      <c r="D83" s="0" t="s">
        <v>2923</v>
      </c>
      <c r="E83" s="0" t="s">
        <v>2924</v>
      </c>
      <c r="F83" s="0" t="s">
        <v>2742</v>
      </c>
      <c r="G83" s="0" t="s">
        <v>2925</v>
      </c>
    </row>
    <row customHeight="1" ht="11.25">
      <c r="A84" s="0" t="s">
        <v>16</v>
      </c>
      <c r="B84" s="0" t="s">
        <v>2902</v>
      </c>
      <c r="C84" s="0" t="s">
        <v>2903</v>
      </c>
      <c r="D84" s="0" t="s">
        <v>2926</v>
      </c>
      <c r="E84" s="0" t="s">
        <v>2927</v>
      </c>
      <c r="F84" s="0" t="s">
        <v>2742</v>
      </c>
      <c r="G84" s="0" t="s">
        <v>2928</v>
      </c>
    </row>
    <row customHeight="1" ht="11.25">
      <c r="A85" s="0" t="s">
        <v>16</v>
      </c>
      <c r="B85" s="0" t="s">
        <v>2902</v>
      </c>
      <c r="C85" s="0" t="s">
        <v>2903</v>
      </c>
      <c r="D85" s="0" t="s">
        <v>2929</v>
      </c>
      <c r="E85" s="0" t="s">
        <v>2930</v>
      </c>
      <c r="F85" s="0" t="s">
        <v>2742</v>
      </c>
      <c r="G85" s="0" t="s">
        <v>2931</v>
      </c>
    </row>
    <row customHeight="1" ht="11.25">
      <c r="A86" s="0" t="s">
        <v>16</v>
      </c>
      <c r="B86" s="0" t="s">
        <v>2902</v>
      </c>
      <c r="C86" s="0" t="s">
        <v>2903</v>
      </c>
      <c r="D86" s="0" t="s">
        <v>2932</v>
      </c>
      <c r="E86" s="0" t="s">
        <v>2933</v>
      </c>
      <c r="F86" s="0" t="s">
        <v>2758</v>
      </c>
      <c r="G86" s="0" t="s">
        <v>2934</v>
      </c>
    </row>
    <row customHeight="1" ht="11.25">
      <c r="A87" s="0" t="s">
        <v>16</v>
      </c>
      <c r="B87" s="0" t="s">
        <v>2935</v>
      </c>
      <c r="C87" s="0" t="s">
        <v>2936</v>
      </c>
      <c r="D87" s="0" t="s">
        <v>2937</v>
      </c>
      <c r="E87" s="0" t="s">
        <v>2938</v>
      </c>
      <c r="F87" s="0" t="s">
        <v>2742</v>
      </c>
      <c r="G87" s="0" t="s">
        <v>2939</v>
      </c>
    </row>
    <row customHeight="1" ht="11.25">
      <c r="A88" s="0" t="s">
        <v>16</v>
      </c>
      <c r="B88" s="0" t="s">
        <v>2935</v>
      </c>
      <c r="C88" s="0" t="s">
        <v>2936</v>
      </c>
      <c r="D88" s="0" t="s">
        <v>2935</v>
      </c>
      <c r="E88" s="0" t="s">
        <v>2936</v>
      </c>
      <c r="F88" s="0" t="s">
        <v>2743</v>
      </c>
      <c r="G88" s="0" t="s">
        <v>2940</v>
      </c>
    </row>
    <row customHeight="1" ht="11.25">
      <c r="A89" s="0" t="s">
        <v>16</v>
      </c>
      <c r="B89" s="0" t="s">
        <v>2935</v>
      </c>
      <c r="C89" s="0" t="s">
        <v>2936</v>
      </c>
      <c r="D89" s="0" t="s">
        <v>2941</v>
      </c>
      <c r="E89" s="0" t="s">
        <v>2942</v>
      </c>
      <c r="F89" s="0" t="s">
        <v>2742</v>
      </c>
      <c r="G89" s="0" t="s">
        <v>2943</v>
      </c>
    </row>
    <row customHeight="1" ht="11.25">
      <c r="A90" s="0" t="s">
        <v>16</v>
      </c>
      <c r="B90" s="0" t="s">
        <v>2935</v>
      </c>
      <c r="C90" s="0" t="s">
        <v>2936</v>
      </c>
      <c r="D90" s="0" t="s">
        <v>2944</v>
      </c>
      <c r="E90" s="0" t="s">
        <v>2945</v>
      </c>
      <c r="F90" s="0" t="s">
        <v>2742</v>
      </c>
      <c r="G90" s="0" t="s">
        <v>2946</v>
      </c>
    </row>
    <row customHeight="1" ht="11.25">
      <c r="A91" s="0" t="s">
        <v>16</v>
      </c>
      <c r="B91" s="0" t="s">
        <v>2935</v>
      </c>
      <c r="C91" s="0" t="s">
        <v>2936</v>
      </c>
      <c r="D91" s="0" t="s">
        <v>2947</v>
      </c>
      <c r="E91" s="0" t="s">
        <v>2948</v>
      </c>
      <c r="F91" s="0" t="s">
        <v>2742</v>
      </c>
      <c r="G91" s="0" t="s">
        <v>2949</v>
      </c>
    </row>
    <row customHeight="1" ht="11.25">
      <c r="A92" s="0" t="s">
        <v>16</v>
      </c>
      <c r="B92" s="0" t="s">
        <v>2935</v>
      </c>
      <c r="C92" s="0" t="s">
        <v>2936</v>
      </c>
      <c r="D92" s="0" t="s">
        <v>2950</v>
      </c>
      <c r="E92" s="0" t="s">
        <v>2951</v>
      </c>
      <c r="F92" s="0" t="s">
        <v>2758</v>
      </c>
      <c r="G92" s="0" t="s">
        <v>2952</v>
      </c>
    </row>
    <row customHeight="1" ht="11.25">
      <c r="A93" s="0" t="s">
        <v>16</v>
      </c>
      <c r="B93" s="0" t="s">
        <v>2953</v>
      </c>
      <c r="C93" s="0" t="s">
        <v>2954</v>
      </c>
      <c r="D93" s="0" t="s">
        <v>2955</v>
      </c>
      <c r="E93" s="0" t="s">
        <v>2956</v>
      </c>
      <c r="F93" s="0" t="s">
        <v>2742</v>
      </c>
      <c r="G93" s="0" t="s">
        <v>2957</v>
      </c>
    </row>
    <row customHeight="1" ht="11.25">
      <c r="A94" s="0" t="s">
        <v>16</v>
      </c>
      <c r="B94" s="0" t="s">
        <v>2953</v>
      </c>
      <c r="C94" s="0" t="s">
        <v>2954</v>
      </c>
      <c r="D94" s="0" t="s">
        <v>2958</v>
      </c>
      <c r="E94" s="0" t="s">
        <v>2959</v>
      </c>
      <c r="F94" s="0" t="s">
        <v>2742</v>
      </c>
      <c r="G94" s="0" t="s">
        <v>2960</v>
      </c>
    </row>
    <row customHeight="1" ht="11.25">
      <c r="A95" s="0" t="s">
        <v>16</v>
      </c>
      <c r="B95" s="0" t="s">
        <v>2953</v>
      </c>
      <c r="C95" s="0" t="s">
        <v>2954</v>
      </c>
      <c r="D95" s="0" t="s">
        <v>2953</v>
      </c>
      <c r="E95" s="0" t="s">
        <v>2954</v>
      </c>
      <c r="F95" s="0" t="s">
        <v>2743</v>
      </c>
      <c r="G95" s="0" t="s">
        <v>2961</v>
      </c>
    </row>
    <row customHeight="1" ht="11.25">
      <c r="A96" s="0" t="s">
        <v>16</v>
      </c>
      <c r="B96" s="0" t="s">
        <v>2953</v>
      </c>
      <c r="C96" s="0" t="s">
        <v>2954</v>
      </c>
      <c r="D96" s="0" t="s">
        <v>2962</v>
      </c>
      <c r="E96" s="0" t="s">
        <v>2963</v>
      </c>
      <c r="F96" s="0" t="s">
        <v>2742</v>
      </c>
      <c r="G96" s="0" t="s">
        <v>2964</v>
      </c>
    </row>
    <row customHeight="1" ht="11.25">
      <c r="A97" s="0" t="s">
        <v>16</v>
      </c>
      <c r="B97" s="0" t="s">
        <v>2953</v>
      </c>
      <c r="C97" s="0" t="s">
        <v>2954</v>
      </c>
      <c r="D97" s="0" t="s">
        <v>2965</v>
      </c>
      <c r="E97" s="0" t="s">
        <v>2966</v>
      </c>
      <c r="F97" s="0" t="s">
        <v>2758</v>
      </c>
      <c r="G97" s="0" t="s">
        <v>2967</v>
      </c>
    </row>
    <row customHeight="1" ht="11.25">
      <c r="A98" s="0" t="s">
        <v>16</v>
      </c>
      <c r="B98" s="0" t="s">
        <v>2968</v>
      </c>
      <c r="C98" s="0" t="s">
        <v>2969</v>
      </c>
      <c r="D98" s="0" t="s">
        <v>2970</v>
      </c>
      <c r="E98" s="0" t="s">
        <v>2971</v>
      </c>
      <c r="F98" s="0" t="s">
        <v>2742</v>
      </c>
      <c r="G98" s="0" t="s">
        <v>2972</v>
      </c>
    </row>
    <row customHeight="1" ht="11.25">
      <c r="A99" s="0" t="s">
        <v>16</v>
      </c>
      <c r="B99" s="0" t="s">
        <v>2968</v>
      </c>
      <c r="C99" s="0" t="s">
        <v>2969</v>
      </c>
      <c r="D99" s="0" t="s">
        <v>2973</v>
      </c>
      <c r="E99" s="0" t="s">
        <v>2974</v>
      </c>
      <c r="F99" s="0" t="s">
        <v>2742</v>
      </c>
      <c r="G99" s="0" t="s">
        <v>2975</v>
      </c>
    </row>
    <row customHeight="1" ht="11.25">
      <c r="A100" s="0" t="s">
        <v>16</v>
      </c>
      <c r="B100" s="0" t="s">
        <v>2968</v>
      </c>
      <c r="C100" s="0" t="s">
        <v>2969</v>
      </c>
      <c r="D100" s="0" t="s">
        <v>2976</v>
      </c>
      <c r="E100" s="0" t="s">
        <v>2977</v>
      </c>
      <c r="F100" s="0" t="s">
        <v>2742</v>
      </c>
      <c r="G100" s="0" t="s">
        <v>2978</v>
      </c>
    </row>
    <row customHeight="1" ht="11.25">
      <c r="A101" s="0" t="s">
        <v>16</v>
      </c>
      <c r="B101" s="0" t="s">
        <v>2968</v>
      </c>
      <c r="C101" s="0" t="s">
        <v>2969</v>
      </c>
      <c r="D101" s="0" t="s">
        <v>2979</v>
      </c>
      <c r="E101" s="0" t="s">
        <v>2980</v>
      </c>
      <c r="F101" s="0" t="s">
        <v>2742</v>
      </c>
      <c r="G101" s="0" t="s">
        <v>2981</v>
      </c>
    </row>
    <row customHeight="1" ht="11.25">
      <c r="A102" s="0" t="s">
        <v>16</v>
      </c>
      <c r="B102" s="0" t="s">
        <v>2968</v>
      </c>
      <c r="C102" s="0" t="s">
        <v>2969</v>
      </c>
      <c r="D102" s="0" t="s">
        <v>2982</v>
      </c>
      <c r="E102" s="0" t="s">
        <v>2983</v>
      </c>
      <c r="F102" s="0" t="s">
        <v>2742</v>
      </c>
      <c r="G102" s="0" t="s">
        <v>2984</v>
      </c>
    </row>
    <row customHeight="1" ht="11.25">
      <c r="A103" s="0" t="s">
        <v>16</v>
      </c>
      <c r="B103" s="0" t="s">
        <v>2968</v>
      </c>
      <c r="C103" s="0" t="s">
        <v>2969</v>
      </c>
      <c r="D103" s="0" t="s">
        <v>2968</v>
      </c>
      <c r="E103" s="0" t="s">
        <v>2969</v>
      </c>
      <c r="F103" s="0" t="s">
        <v>2743</v>
      </c>
      <c r="G103" s="0" t="s">
        <v>2985</v>
      </c>
    </row>
    <row customHeight="1" ht="11.25">
      <c r="A104" s="0" t="s">
        <v>16</v>
      </c>
      <c r="B104" s="0" t="s">
        <v>2968</v>
      </c>
      <c r="C104" s="0" t="s">
        <v>2969</v>
      </c>
      <c r="D104" s="0" t="s">
        <v>2986</v>
      </c>
      <c r="E104" s="0" t="s">
        <v>2987</v>
      </c>
      <c r="F104" s="0" t="s">
        <v>2742</v>
      </c>
      <c r="G104" s="0" t="s">
        <v>2988</v>
      </c>
    </row>
    <row customHeight="1" ht="11.25">
      <c r="A105" s="0" t="s">
        <v>16</v>
      </c>
      <c r="B105" s="0" t="s">
        <v>2968</v>
      </c>
      <c r="C105" s="0" t="s">
        <v>2969</v>
      </c>
      <c r="D105" s="0" t="s">
        <v>2989</v>
      </c>
      <c r="E105" s="0" t="s">
        <v>2990</v>
      </c>
      <c r="F105" s="0" t="s">
        <v>2742</v>
      </c>
      <c r="G105" s="0" t="s">
        <v>2991</v>
      </c>
    </row>
    <row customHeight="1" ht="11.25">
      <c r="A106" s="0" t="s">
        <v>16</v>
      </c>
      <c r="B106" s="0" t="s">
        <v>2968</v>
      </c>
      <c r="C106" s="0" t="s">
        <v>2969</v>
      </c>
      <c r="D106" s="0" t="s">
        <v>2992</v>
      </c>
      <c r="E106" s="0" t="s">
        <v>2993</v>
      </c>
      <c r="F106" s="0" t="s">
        <v>2742</v>
      </c>
      <c r="G106" s="0" t="s">
        <v>2994</v>
      </c>
    </row>
    <row customHeight="1" ht="11.25">
      <c r="A107" s="0" t="s">
        <v>16</v>
      </c>
      <c r="B107" s="0" t="s">
        <v>2968</v>
      </c>
      <c r="C107" s="0" t="s">
        <v>2969</v>
      </c>
      <c r="D107" s="0" t="s">
        <v>2995</v>
      </c>
      <c r="E107" s="0" t="s">
        <v>2996</v>
      </c>
      <c r="F107" s="0" t="s">
        <v>2758</v>
      </c>
      <c r="G107" s="0" t="s">
        <v>2997</v>
      </c>
    </row>
    <row customHeight="1" ht="11.25">
      <c r="A108" s="0" t="s">
        <v>16</v>
      </c>
      <c r="B108" s="0" t="s">
        <v>2998</v>
      </c>
      <c r="C108" s="0" t="s">
        <v>2999</v>
      </c>
      <c r="D108" s="0" t="s">
        <v>3000</v>
      </c>
      <c r="E108" s="0" t="s">
        <v>3001</v>
      </c>
      <c r="F108" s="0" t="s">
        <v>2742</v>
      </c>
      <c r="G108" s="0" t="s">
        <v>3002</v>
      </c>
    </row>
    <row customHeight="1" ht="11.25">
      <c r="A109" s="0" t="s">
        <v>16</v>
      </c>
      <c r="B109" s="0" t="s">
        <v>2998</v>
      </c>
      <c r="C109" s="0" t="s">
        <v>2999</v>
      </c>
      <c r="D109" s="0" t="s">
        <v>3003</v>
      </c>
      <c r="E109" s="0" t="s">
        <v>3004</v>
      </c>
      <c r="F109" s="0" t="s">
        <v>2742</v>
      </c>
      <c r="G109" s="0" t="s">
        <v>3005</v>
      </c>
    </row>
    <row customHeight="1" ht="11.25">
      <c r="A110" s="0" t="s">
        <v>16</v>
      </c>
      <c r="B110" s="0" t="s">
        <v>2998</v>
      </c>
      <c r="C110" s="0" t="s">
        <v>2999</v>
      </c>
      <c r="D110" s="0" t="s">
        <v>3006</v>
      </c>
      <c r="E110" s="0" t="s">
        <v>3007</v>
      </c>
      <c r="F110" s="0" t="s">
        <v>2742</v>
      </c>
      <c r="G110" s="0" t="s">
        <v>3008</v>
      </c>
    </row>
    <row customHeight="1" ht="11.25">
      <c r="A111" s="0" t="s">
        <v>16</v>
      </c>
      <c r="B111" s="0" t="s">
        <v>2998</v>
      </c>
      <c r="C111" s="0" t="s">
        <v>2999</v>
      </c>
      <c r="D111" s="0" t="s">
        <v>3009</v>
      </c>
      <c r="E111" s="0" t="s">
        <v>3010</v>
      </c>
      <c r="F111" s="0" t="s">
        <v>2742</v>
      </c>
      <c r="G111" s="0" t="s">
        <v>3011</v>
      </c>
    </row>
    <row customHeight="1" ht="11.25">
      <c r="A112" s="0" t="s">
        <v>16</v>
      </c>
      <c r="B112" s="0" t="s">
        <v>2998</v>
      </c>
      <c r="C112" s="0" t="s">
        <v>2999</v>
      </c>
      <c r="D112" s="0" t="s">
        <v>3012</v>
      </c>
      <c r="E112" s="0" t="s">
        <v>3013</v>
      </c>
      <c r="F112" s="0" t="s">
        <v>2742</v>
      </c>
      <c r="G112" s="0" t="s">
        <v>3014</v>
      </c>
    </row>
    <row customHeight="1" ht="11.25">
      <c r="A113" s="0" t="s">
        <v>16</v>
      </c>
      <c r="B113" s="0" t="s">
        <v>2998</v>
      </c>
      <c r="C113" s="0" t="s">
        <v>2999</v>
      </c>
      <c r="D113" s="0" t="s">
        <v>3015</v>
      </c>
      <c r="E113" s="0" t="s">
        <v>3016</v>
      </c>
      <c r="F113" s="0" t="s">
        <v>2742</v>
      </c>
      <c r="G113" s="0" t="s">
        <v>3017</v>
      </c>
    </row>
    <row customHeight="1" ht="11.25">
      <c r="A114" s="0" t="s">
        <v>16</v>
      </c>
      <c r="B114" s="0" t="s">
        <v>2998</v>
      </c>
      <c r="C114" s="0" t="s">
        <v>2999</v>
      </c>
      <c r="D114" s="0" t="s">
        <v>3018</v>
      </c>
      <c r="E114" s="0" t="s">
        <v>3019</v>
      </c>
      <c r="F114" s="0" t="s">
        <v>2742</v>
      </c>
      <c r="G114" s="0" t="s">
        <v>3020</v>
      </c>
    </row>
    <row customHeight="1" ht="11.25">
      <c r="A115" s="0" t="s">
        <v>16</v>
      </c>
      <c r="B115" s="0" t="s">
        <v>2998</v>
      </c>
      <c r="C115" s="0" t="s">
        <v>2999</v>
      </c>
      <c r="D115" s="0" t="s">
        <v>2998</v>
      </c>
      <c r="E115" s="0" t="s">
        <v>2999</v>
      </c>
      <c r="F115" s="0" t="s">
        <v>2743</v>
      </c>
      <c r="G115" s="0" t="s">
        <v>3021</v>
      </c>
    </row>
    <row customHeight="1" ht="11.25">
      <c r="A116" s="0" t="s">
        <v>16</v>
      </c>
      <c r="B116" s="0" t="s">
        <v>2998</v>
      </c>
      <c r="C116" s="0" t="s">
        <v>2999</v>
      </c>
      <c r="D116" s="0" t="s">
        <v>3022</v>
      </c>
      <c r="E116" s="0" t="s">
        <v>3023</v>
      </c>
      <c r="F116" s="0" t="s">
        <v>2742</v>
      </c>
      <c r="G116" s="0" t="s">
        <v>3024</v>
      </c>
    </row>
    <row customHeight="1" ht="11.25">
      <c r="A117" s="0" t="s">
        <v>16</v>
      </c>
      <c r="B117" s="0" t="s">
        <v>2998</v>
      </c>
      <c r="C117" s="0" t="s">
        <v>2999</v>
      </c>
      <c r="D117" s="0" t="s">
        <v>3025</v>
      </c>
      <c r="E117" s="0" t="s">
        <v>3026</v>
      </c>
      <c r="F117" s="0" t="s">
        <v>2758</v>
      </c>
      <c r="G117" s="0" t="s">
        <v>3027</v>
      </c>
    </row>
    <row customHeight="1" ht="11.25">
      <c r="A118" s="0" t="s">
        <v>16</v>
      </c>
      <c r="B118" s="0" t="s">
        <v>3028</v>
      </c>
      <c r="C118" s="0" t="s">
        <v>3029</v>
      </c>
      <c r="D118" s="0" t="s">
        <v>3030</v>
      </c>
      <c r="E118" s="0" t="s">
        <v>3031</v>
      </c>
      <c r="F118" s="0" t="s">
        <v>2742</v>
      </c>
      <c r="G118" s="0" t="s">
        <v>3032</v>
      </c>
    </row>
    <row customHeight="1" ht="11.25">
      <c r="A119" s="0" t="s">
        <v>16</v>
      </c>
      <c r="B119" s="0" t="s">
        <v>3028</v>
      </c>
      <c r="C119" s="0" t="s">
        <v>3029</v>
      </c>
      <c r="D119" s="0" t="s">
        <v>3033</v>
      </c>
      <c r="E119" s="0" t="s">
        <v>3034</v>
      </c>
      <c r="F119" s="0" t="s">
        <v>2742</v>
      </c>
      <c r="G119" s="0" t="s">
        <v>3035</v>
      </c>
    </row>
    <row customHeight="1" ht="11.25">
      <c r="A120" s="0" t="s">
        <v>16</v>
      </c>
      <c r="B120" s="0" t="s">
        <v>3028</v>
      </c>
      <c r="C120" s="0" t="s">
        <v>3029</v>
      </c>
      <c r="D120" s="0" t="s">
        <v>3036</v>
      </c>
      <c r="E120" s="0" t="s">
        <v>3037</v>
      </c>
      <c r="F120" s="0" t="s">
        <v>2742</v>
      </c>
      <c r="G120" s="0" t="s">
        <v>3038</v>
      </c>
    </row>
    <row customHeight="1" ht="11.25">
      <c r="A121" s="0" t="s">
        <v>16</v>
      </c>
      <c r="B121" s="0" t="s">
        <v>3028</v>
      </c>
      <c r="C121" s="0" t="s">
        <v>3029</v>
      </c>
      <c r="D121" s="0" t="s">
        <v>3039</v>
      </c>
      <c r="E121" s="0" t="s">
        <v>3040</v>
      </c>
      <c r="F121" s="0" t="s">
        <v>2742</v>
      </c>
      <c r="G121" s="0" t="s">
        <v>3041</v>
      </c>
    </row>
    <row customHeight="1" ht="11.25">
      <c r="A122" s="0" t="s">
        <v>16</v>
      </c>
      <c r="B122" s="0" t="s">
        <v>3028</v>
      </c>
      <c r="C122" s="0" t="s">
        <v>3029</v>
      </c>
      <c r="D122" s="0" t="s">
        <v>3042</v>
      </c>
      <c r="E122" s="0" t="s">
        <v>3043</v>
      </c>
      <c r="F122" s="0" t="s">
        <v>2742</v>
      </c>
      <c r="G122" s="0" t="s">
        <v>3044</v>
      </c>
    </row>
    <row customHeight="1" ht="11.25">
      <c r="A123" s="0" t="s">
        <v>16</v>
      </c>
      <c r="B123" s="0" t="s">
        <v>3028</v>
      </c>
      <c r="C123" s="0" t="s">
        <v>3029</v>
      </c>
      <c r="D123" s="0" t="s">
        <v>3045</v>
      </c>
      <c r="E123" s="0" t="s">
        <v>3046</v>
      </c>
      <c r="F123" s="0" t="s">
        <v>2742</v>
      </c>
      <c r="G123" s="0" t="s">
        <v>3047</v>
      </c>
    </row>
    <row customHeight="1" ht="11.25">
      <c r="A124" s="0" t="s">
        <v>16</v>
      </c>
      <c r="B124" s="0" t="s">
        <v>3028</v>
      </c>
      <c r="C124" s="0" t="s">
        <v>3029</v>
      </c>
      <c r="D124" s="0" t="s">
        <v>3028</v>
      </c>
      <c r="E124" s="0" t="s">
        <v>3029</v>
      </c>
      <c r="F124" s="0" t="s">
        <v>2743</v>
      </c>
      <c r="G124" s="0" t="s">
        <v>3048</v>
      </c>
    </row>
    <row customHeight="1" ht="11.25">
      <c r="A125" s="0" t="s">
        <v>16</v>
      </c>
      <c r="B125" s="0" t="s">
        <v>3028</v>
      </c>
      <c r="C125" s="0" t="s">
        <v>3029</v>
      </c>
      <c r="D125" s="0" t="s">
        <v>3049</v>
      </c>
      <c r="E125" s="0" t="s">
        <v>3050</v>
      </c>
      <c r="F125" s="0" t="s">
        <v>2742</v>
      </c>
      <c r="G125" s="0" t="s">
        <v>3051</v>
      </c>
    </row>
    <row customHeight="1" ht="11.25">
      <c r="A126" s="0" t="s">
        <v>16</v>
      </c>
      <c r="B126" s="0" t="s">
        <v>3028</v>
      </c>
      <c r="C126" s="0" t="s">
        <v>3029</v>
      </c>
      <c r="D126" s="0" t="s">
        <v>3052</v>
      </c>
      <c r="E126" s="0" t="s">
        <v>3053</v>
      </c>
      <c r="F126" s="0" t="s">
        <v>2758</v>
      </c>
      <c r="G126" s="0" t="s">
        <v>3054</v>
      </c>
    </row>
    <row customHeight="1" ht="11.25">
      <c r="A127" s="0" t="s">
        <v>16</v>
      </c>
      <c r="B127" s="0" t="s">
        <v>3055</v>
      </c>
      <c r="C127" s="0" t="s">
        <v>3056</v>
      </c>
      <c r="D127" s="0" t="s">
        <v>3057</v>
      </c>
      <c r="E127" s="0" t="s">
        <v>3058</v>
      </c>
      <c r="F127" s="0" t="s">
        <v>2742</v>
      </c>
      <c r="G127" s="0" t="s">
        <v>3059</v>
      </c>
    </row>
    <row customHeight="1" ht="11.25">
      <c r="A128" s="0" t="s">
        <v>16</v>
      </c>
      <c r="B128" s="0" t="s">
        <v>3055</v>
      </c>
      <c r="C128" s="0" t="s">
        <v>3056</v>
      </c>
      <c r="D128" s="0" t="s">
        <v>3060</v>
      </c>
      <c r="E128" s="0" t="s">
        <v>3061</v>
      </c>
      <c r="F128" s="0" t="s">
        <v>2742</v>
      </c>
      <c r="G128" s="0" t="s">
        <v>3062</v>
      </c>
    </row>
    <row customHeight="1" ht="11.25">
      <c r="A129" s="0" t="s">
        <v>16</v>
      </c>
      <c r="B129" s="0" t="s">
        <v>3055</v>
      </c>
      <c r="C129" s="0" t="s">
        <v>3056</v>
      </c>
      <c r="D129" s="0" t="s">
        <v>3063</v>
      </c>
      <c r="E129" s="0" t="s">
        <v>3064</v>
      </c>
      <c r="F129" s="0" t="s">
        <v>2742</v>
      </c>
      <c r="G129" s="0" t="s">
        <v>3065</v>
      </c>
    </row>
    <row customHeight="1" ht="11.25">
      <c r="A130" s="0" t="s">
        <v>16</v>
      </c>
      <c r="B130" s="0" t="s">
        <v>3055</v>
      </c>
      <c r="C130" s="0" t="s">
        <v>3056</v>
      </c>
      <c r="D130" s="0" t="s">
        <v>3066</v>
      </c>
      <c r="E130" s="0" t="s">
        <v>3067</v>
      </c>
      <c r="F130" s="0" t="s">
        <v>2742</v>
      </c>
      <c r="G130" s="0" t="s">
        <v>3068</v>
      </c>
    </row>
    <row customHeight="1" ht="11.25">
      <c r="A131" s="0" t="s">
        <v>16</v>
      </c>
      <c r="B131" s="0" t="s">
        <v>3055</v>
      </c>
      <c r="C131" s="0" t="s">
        <v>3056</v>
      </c>
      <c r="D131" s="0" t="s">
        <v>3055</v>
      </c>
      <c r="E131" s="0" t="s">
        <v>3056</v>
      </c>
      <c r="F131" s="0" t="s">
        <v>2743</v>
      </c>
      <c r="G131" s="0" t="s">
        <v>3069</v>
      </c>
    </row>
    <row customHeight="1" ht="11.25">
      <c r="A132" s="0" t="s">
        <v>16</v>
      </c>
      <c r="B132" s="0" t="s">
        <v>3055</v>
      </c>
      <c r="C132" s="0" t="s">
        <v>3056</v>
      </c>
      <c r="D132" s="0" t="s">
        <v>3070</v>
      </c>
      <c r="E132" s="0" t="s">
        <v>3071</v>
      </c>
      <c r="F132" s="0" t="s">
        <v>2742</v>
      </c>
      <c r="G132" s="0" t="s">
        <v>3072</v>
      </c>
    </row>
    <row customHeight="1" ht="11.25">
      <c r="A133" s="0" t="s">
        <v>16</v>
      </c>
      <c r="B133" s="0" t="s">
        <v>3055</v>
      </c>
      <c r="C133" s="0" t="s">
        <v>3056</v>
      </c>
      <c r="D133" s="0" t="s">
        <v>3073</v>
      </c>
      <c r="E133" s="0" t="s">
        <v>3074</v>
      </c>
      <c r="F133" s="0" t="s">
        <v>2758</v>
      </c>
      <c r="G133" s="0" t="s">
        <v>3075</v>
      </c>
    </row>
    <row customHeight="1" ht="11.25">
      <c r="A134" s="0" t="s">
        <v>16</v>
      </c>
      <c r="B134" s="0" t="s">
        <v>3076</v>
      </c>
      <c r="C134" s="0" t="s">
        <v>3077</v>
      </c>
      <c r="D134" s="0" t="s">
        <v>3076</v>
      </c>
      <c r="E134" s="0" t="s">
        <v>3077</v>
      </c>
      <c r="F134" s="0" t="s">
        <v>3078</v>
      </c>
      <c r="G134" s="0" t="s">
        <v>3079</v>
      </c>
    </row>
    <row customHeight="1" ht="11.25">
      <c r="A135" s="0" t="s">
        <v>16</v>
      </c>
      <c r="B135" s="0" t="s">
        <v>99</v>
      </c>
      <c r="C135" s="0" t="s">
        <v>100</v>
      </c>
      <c r="D135" s="0" t="s">
        <v>99</v>
      </c>
      <c r="E135" s="0" t="s">
        <v>100</v>
      </c>
      <c r="F135" s="0" t="s">
        <v>3078</v>
      </c>
      <c r="G135" s="0" t="s">
        <v>98</v>
      </c>
    </row>
    <row customHeight="1" ht="11.25">
      <c r="A136" s="0" t="s">
        <v>16</v>
      </c>
      <c r="B136" s="0" t="s">
        <v>3080</v>
      </c>
      <c r="C136" s="0" t="s">
        <v>3081</v>
      </c>
      <c r="D136" s="0" t="s">
        <v>3080</v>
      </c>
      <c r="E136" s="0" t="s">
        <v>3081</v>
      </c>
      <c r="F136" s="0" t="s">
        <v>3078</v>
      </c>
      <c r="G136" s="0" t="s">
        <v>3082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B1D38-F4F8-668F-4A79-267FE8820F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444" width="9.140625"/>
    <col min="2" max="2" style="13444" width="84.28125" customWidth="1"/>
    <col min="3" max="3" style="13444" width="9.140625"/>
  </cols>
  <sheetData>
    <row customHeight="1" ht="11.25">
      <c r="A1" s="1005" t="s">
        <v>3104</v>
      </c>
      <c r="B1" s="1005" t="s">
        <v>3105</v>
      </c>
      <c r="C1" s="1005" t="s">
        <v>1184</v>
      </c>
    </row>
    <row customHeight="1" ht="11.25">
      <c r="A2" s="1005">
        <v>4189678</v>
      </c>
      <c r="B2" s="1005" t="s">
        <v>3106</v>
      </c>
      <c r="C2" s="1005" t="s">
        <v>3107</v>
      </c>
    </row>
    <row customHeight="1" ht="11.25">
      <c r="A3" s="1005">
        <v>4190415</v>
      </c>
      <c r="B3" s="1005" t="s">
        <v>3108</v>
      </c>
      <c r="C3" s="1005" t="s">
        <v>3107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3FB06-3C71-7517-C1A6-A3102D5DD9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449" width="38.421875" customWidth="1"/>
    <col min="2" max="5" style="13449" width="9.140625"/>
  </cols>
  <sheetData>
    <row customHeight="1" ht="15">
      <c r="A1" s="333" t="s">
        <v>3109</v>
      </c>
      <c r="B1" s="333" t="s">
        <v>3110</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1862C-196B-4DE3-4C41-F0F538D77D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3111</v>
      </c>
      <c r="B1" s="0" t="b">
        <v>1</v>
      </c>
    </row>
    <row customHeight="1" ht="11.25">
      <c r="A2" s="0" t="s">
        <v>3112</v>
      </c>
      <c r="B2" s="0" t="b">
        <v>0</v>
      </c>
    </row>
    <row customHeight="1" ht="11.25">
      <c r="A3" s="0" t="s">
        <v>3113</v>
      </c>
      <c r="B3" s="0" t="b">
        <v>0</v>
      </c>
    </row>
    <row customHeight="1" ht="11.25">
      <c r="A4" s="0" t="s">
        <v>3114</v>
      </c>
      <c r="B4" s="0" t="b">
        <v>1</v>
      </c>
    </row>
    <row customHeight="1" ht="11.25">
      <c r="A5" s="0" t="s">
        <v>3115</v>
      </c>
      <c r="B5" s="0" t="b">
        <v>0</v>
      </c>
    </row>
    <row customHeight="1" ht="11.25">
      <c r="A6" s="0" t="s">
        <v>3116</v>
      </c>
      <c r="B6" s="0" t="b">
        <v>0</v>
      </c>
    </row>
    <row customHeight="1" ht="11.25">
      <c r="A7" s="0" t="s">
        <v>3117</v>
      </c>
      <c r="B7" s="0" t="b">
        <v>0</v>
      </c>
    </row>
    <row customHeight="1" ht="11.25">
      <c r="A8" s="0" t="s">
        <v>3118</v>
      </c>
      <c r="B8" s="0" t="b">
        <v>0</v>
      </c>
    </row>
    <row customHeight="1" ht="11.25">
      <c r="A9" s="0" t="s">
        <v>3119</v>
      </c>
      <c r="B9" s="0" t="b">
        <v>0</v>
      </c>
    </row>
    <row customHeight="1" ht="11.25">
      <c r="A10" s="0" t="s">
        <v>3120</v>
      </c>
      <c r="B10" s="0" t="b">
        <v>0</v>
      </c>
    </row>
    <row customHeight="1" ht="11.25">
      <c r="A11" s="0" t="s">
        <v>3121</v>
      </c>
      <c r="B11" s="0" t="b">
        <v>0</v>
      </c>
    </row>
    <row customHeight="1" ht="11.25">
      <c r="A12" s="0" t="s">
        <v>3122</v>
      </c>
      <c r="B12" s="0" t="b">
        <v>0</v>
      </c>
    </row>
    <row customHeight="1" ht="11.25">
      <c r="A13" s="0" t="s">
        <v>3123</v>
      </c>
      <c r="B13" s="0" t="b">
        <v>0</v>
      </c>
    </row>
    <row customHeight="1" ht="11.25">
      <c r="A14" s="0" t="s">
        <v>3124</v>
      </c>
      <c r="B14" s="0" t="b">
        <v>1</v>
      </c>
    </row>
    <row customHeight="1" ht="11.25">
      <c r="A15" s="0" t="s">
        <v>3125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54F03-2D94-A032-C91E-34164EAD6D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545"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1765C-97A1-01CE-C187-9A597111B15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727" width="36.28125" customWidth="1"/>
    <col min="2" max="2" style="9727" width="21.140625" customWidth="1"/>
  </cols>
  <sheetData>
    <row customHeight="1" ht="11.25">
      <c r="A1" s="237" t="s">
        <v>3126</v>
      </c>
      <c r="B1" s="237" t="s">
        <v>3127</v>
      </c>
    </row>
    <row customHeight="1" ht="11.25">
      <c r="A2" s="232" t="s">
        <v>3128</v>
      </c>
      <c r="B2" s="232" t="s">
        <v>3129</v>
      </c>
    </row>
    <row customHeight="1" ht="11.25">
      <c r="A3" s="232" t="s">
        <v>3130</v>
      </c>
      <c r="B3" s="232" t="s">
        <v>3131</v>
      </c>
    </row>
    <row customHeight="1" ht="11.25">
      <c r="A4" s="232" t="s">
        <v>3132</v>
      </c>
      <c r="B4" s="232" t="s">
        <v>3133</v>
      </c>
    </row>
    <row customHeight="1" ht="11.25">
      <c r="A5" s="232" t="s">
        <v>3134</v>
      </c>
      <c r="B5" s="232" t="s">
        <v>3135</v>
      </c>
    </row>
    <row customHeight="1" ht="11.25">
      <c r="A6" s="232" t="s">
        <v>3136</v>
      </c>
      <c r="B6" s="232" t="s">
        <v>3137</v>
      </c>
    </row>
    <row customHeight="1" ht="11.25">
      <c r="A7" s="232" t="s">
        <v>3138</v>
      </c>
      <c r="B7" s="232" t="s">
        <v>3139</v>
      </c>
    </row>
    <row customHeight="1" ht="11.25">
      <c r="A8" s="232" t="s">
        <v>3140</v>
      </c>
      <c r="B8" s="232" t="s">
        <v>3141</v>
      </c>
    </row>
    <row customHeight="1" ht="11.25">
      <c r="A9" s="232" t="s">
        <v>3142</v>
      </c>
      <c r="B9" s="232" t="s">
        <v>3143</v>
      </c>
    </row>
    <row customHeight="1" ht="11.25">
      <c r="A10" s="232" t="s">
        <v>3144</v>
      </c>
      <c r="B10" s="232" t="s">
        <v>3145</v>
      </c>
    </row>
    <row customHeight="1" ht="11.25">
      <c r="A11" s="232" t="s">
        <v>3146</v>
      </c>
      <c r="B11" s="232" t="s">
        <v>3147</v>
      </c>
    </row>
    <row customHeight="1" ht="11.25">
      <c r="A12" s="232" t="s">
        <v>3148</v>
      </c>
      <c r="B12" s="232" t="s">
        <v>3149</v>
      </c>
    </row>
    <row customHeight="1" ht="11.25">
      <c r="A13" s="232" t="s">
        <v>3150</v>
      </c>
      <c r="B13" s="232" t="s">
        <v>3151</v>
      </c>
    </row>
    <row customHeight="1" ht="11.25">
      <c r="A14" s="232" t="s">
        <v>3152</v>
      </c>
      <c r="B14" s="232" t="s">
        <v>3153</v>
      </c>
    </row>
    <row customHeight="1" ht="11.25">
      <c r="A15" s="232" t="s">
        <v>3154</v>
      </c>
      <c r="B15" s="232" t="s">
        <v>3155</v>
      </c>
    </row>
    <row customHeight="1" ht="11.25">
      <c r="A16" s="232" t="s">
        <v>3156</v>
      </c>
      <c r="B16" s="232" t="s">
        <v>3157</v>
      </c>
    </row>
    <row customHeight="1" ht="11.25">
      <c r="A17" s="232" t="s">
        <v>3158</v>
      </c>
      <c r="B17" s="232" t="s">
        <v>3159</v>
      </c>
    </row>
    <row customHeight="1" ht="11.25">
      <c r="A18" s="232" t="s">
        <v>3160</v>
      </c>
      <c r="B18" s="232" t="s">
        <v>3161</v>
      </c>
    </row>
    <row customHeight="1" ht="11.25">
      <c r="A19" s="232" t="s">
        <v>3162</v>
      </c>
      <c r="B19" s="232" t="s">
        <v>3163</v>
      </c>
    </row>
    <row customHeight="1" ht="11.25">
      <c r="A20" s="232" t="s">
        <v>3164</v>
      </c>
      <c r="B20" s="232" t="s">
        <v>3165</v>
      </c>
    </row>
    <row customHeight="1" ht="11.25">
      <c r="A21" s="232" t="s">
        <v>3166</v>
      </c>
      <c r="B21" s="232" t="s">
        <v>3167</v>
      </c>
    </row>
    <row customHeight="1" ht="11.25">
      <c r="A22" s="232" t="s">
        <v>3168</v>
      </c>
      <c r="B22" s="232" t="s">
        <v>3169</v>
      </c>
    </row>
    <row customHeight="1" ht="11.25">
      <c r="A23" s="232" t="s">
        <v>3170</v>
      </c>
      <c r="B23" s="232" t="s">
        <v>3171</v>
      </c>
    </row>
    <row customHeight="1" ht="11.25">
      <c r="A24" s="232" t="s">
        <v>3172</v>
      </c>
      <c r="B24" s="232" t="s">
        <v>3173</v>
      </c>
    </row>
    <row customHeight="1" ht="11.25">
      <c r="A25" s="232" t="s">
        <v>3174</v>
      </c>
      <c r="B25" s="232" t="s">
        <v>3175</v>
      </c>
    </row>
    <row customHeight="1" ht="11.25">
      <c r="A26" s="232" t="s">
        <v>3176</v>
      </c>
      <c r="B26" s="232" t="s">
        <v>3177</v>
      </c>
    </row>
    <row customHeight="1" ht="11.25">
      <c r="A27" s="232" t="s">
        <v>3178</v>
      </c>
      <c r="B27" s="232" t="s">
        <v>3179</v>
      </c>
    </row>
    <row customHeight="1" ht="11.25">
      <c r="A28" s="232" t="s">
        <v>3180</v>
      </c>
      <c r="B28" s="232" t="s">
        <v>3181</v>
      </c>
    </row>
    <row customHeight="1" ht="11.25">
      <c r="A29" s="232" t="s">
        <v>3182</v>
      </c>
      <c r="B29" s="232" t="s">
        <v>3183</v>
      </c>
    </row>
    <row customHeight="1" ht="11.25">
      <c r="A30" s="232" t="s">
        <v>3184</v>
      </c>
      <c r="B30" s="232" t="s">
        <v>3185</v>
      </c>
    </row>
    <row customHeight="1" ht="11.25">
      <c r="A31" s="232" t="s">
        <v>3186</v>
      </c>
      <c r="B31" s="232" t="s">
        <v>3187</v>
      </c>
    </row>
    <row customHeight="1" ht="11.25">
      <c r="A32" s="232" t="s">
        <v>3188</v>
      </c>
      <c r="B32" s="232" t="s">
        <v>3189</v>
      </c>
    </row>
    <row customHeight="1" ht="11.25">
      <c r="A33" s="232" t="s">
        <v>3190</v>
      </c>
      <c r="B33" s="232" t="s">
        <v>3191</v>
      </c>
    </row>
    <row customHeight="1" ht="11.25">
      <c r="A34" s="232" t="s">
        <v>3192</v>
      </c>
      <c r="B34" s="232" t="s">
        <v>3193</v>
      </c>
    </row>
    <row customHeight="1" ht="11.25">
      <c r="A35" s="232" t="s">
        <v>3194</v>
      </c>
      <c r="B35" s="232" t="s">
        <v>3195</v>
      </c>
    </row>
    <row customHeight="1" ht="11.25">
      <c r="A36" s="232" t="s">
        <v>3196</v>
      </c>
      <c r="B36" s="232" t="s">
        <v>3197</v>
      </c>
    </row>
    <row customHeight="1" ht="11.25">
      <c r="A37" s="232" t="s">
        <v>3198</v>
      </c>
      <c r="B37" s="232" t="s">
        <v>3199</v>
      </c>
    </row>
    <row customHeight="1" ht="11.25">
      <c r="A38" s="232" t="s">
        <v>3200</v>
      </c>
      <c r="B38" s="232" t="s">
        <v>3201</v>
      </c>
    </row>
    <row customHeight="1" ht="11.25">
      <c r="A39" s="232" t="s">
        <v>3202</v>
      </c>
      <c r="B39" s="232" t="s">
        <v>3203</v>
      </c>
    </row>
    <row customHeight="1" ht="11.25">
      <c r="A40" s="232" t="s">
        <v>3204</v>
      </c>
      <c r="B40" s="232" t="s">
        <v>3205</v>
      </c>
    </row>
    <row customHeight="1" ht="11.25">
      <c r="A41" s="232" t="s">
        <v>3206</v>
      </c>
      <c r="B41" s="232" t="s">
        <v>3207</v>
      </c>
    </row>
    <row customHeight="1" ht="11.25">
      <c r="A42" s="232" t="s">
        <v>3208</v>
      </c>
      <c r="B42" s="232" t="s">
        <v>3209</v>
      </c>
    </row>
    <row customHeight="1" ht="11.25">
      <c r="A43" s="232" t="s">
        <v>3210</v>
      </c>
      <c r="B43" s="232" t="s">
        <v>3211</v>
      </c>
    </row>
    <row customHeight="1" ht="11.25">
      <c r="A44" s="232" t="s">
        <v>3212</v>
      </c>
      <c r="B44" s="232" t="s">
        <v>3213</v>
      </c>
    </row>
    <row customHeight="1" ht="11.25">
      <c r="A45" s="232" t="s">
        <v>3214</v>
      </c>
      <c r="B45" s="232" t="s">
        <v>3215</v>
      </c>
    </row>
    <row customHeight="1" ht="11.25">
      <c r="A46" s="232" t="s">
        <v>3216</v>
      </c>
      <c r="B46" s="232" t="s">
        <v>3217</v>
      </c>
    </row>
    <row customHeight="1" ht="11.25">
      <c r="A47" s="232" t="s">
        <v>3218</v>
      </c>
      <c r="B47" s="232" t="s">
        <v>3219</v>
      </c>
    </row>
    <row customHeight="1" ht="11.25">
      <c r="A48" s="232" t="s">
        <v>3220</v>
      </c>
      <c r="B48" s="232" t="s">
        <v>3221</v>
      </c>
    </row>
    <row customHeight="1" ht="11.25">
      <c r="A49" s="232" t="s">
        <v>3222</v>
      </c>
      <c r="B49" s="232" t="s">
        <v>3223</v>
      </c>
    </row>
    <row customHeight="1" ht="11.25">
      <c r="A50" s="232" t="s">
        <v>3224</v>
      </c>
      <c r="B50" s="232" t="s">
        <v>3225</v>
      </c>
    </row>
    <row customHeight="1" ht="11.25">
      <c r="A51" s="232" t="s">
        <v>3226</v>
      </c>
      <c r="B51" s="232" t="s">
        <v>3227</v>
      </c>
    </row>
    <row customHeight="1" ht="11.25">
      <c r="A52" s="232" t="s">
        <v>3228</v>
      </c>
      <c r="B52" s="232" t="s">
        <v>3229</v>
      </c>
    </row>
    <row customHeight="1" ht="11.25">
      <c r="A53" s="232" t="s">
        <v>3230</v>
      </c>
      <c r="B53" s="232" t="s">
        <v>3231</v>
      </c>
    </row>
    <row customHeight="1" ht="11.25">
      <c r="A54" s="232" t="s">
        <v>3232</v>
      </c>
      <c r="B54" s="232" t="s">
        <v>3233</v>
      </c>
    </row>
    <row customHeight="1" ht="11.25">
      <c r="A55" s="232" t="s">
        <v>3234</v>
      </c>
      <c r="B55" s="232" t="s">
        <v>3235</v>
      </c>
    </row>
    <row customHeight="1" ht="11.25">
      <c r="A56" s="232" t="s">
        <v>3236</v>
      </c>
      <c r="B56" s="232" t="s">
        <v>3237</v>
      </c>
    </row>
    <row customHeight="1" ht="11.25">
      <c r="A57" s="232" t="s">
        <v>3238</v>
      </c>
      <c r="B57" s="232" t="s">
        <v>3239</v>
      </c>
    </row>
    <row customHeight="1" ht="11.25">
      <c r="A58" s="232" t="s">
        <v>3240</v>
      </c>
      <c r="B58" s="232" t="s">
        <v>3241</v>
      </c>
    </row>
    <row customHeight="1" ht="11.25">
      <c r="A59" s="232" t="s">
        <v>3242</v>
      </c>
      <c r="B59" s="232" t="s">
        <v>3243</v>
      </c>
    </row>
    <row customHeight="1" ht="11.25">
      <c r="A60" s="232" t="s">
        <v>3244</v>
      </c>
      <c r="B60" s="232" t="s">
        <v>3245</v>
      </c>
    </row>
    <row customHeight="1" ht="11.25">
      <c r="A61" s="232"/>
      <c r="B61" s="232" t="s">
        <v>3246</v>
      </c>
    </row>
    <row customHeight="1" ht="11.25">
      <c r="A62" s="232"/>
      <c r="B62" s="232" t="s">
        <v>3247</v>
      </c>
    </row>
    <row customHeight="1" ht="11.25">
      <c r="A63" s="232"/>
      <c r="B63" s="232" t="s">
        <v>3248</v>
      </c>
    </row>
    <row customHeight="1" ht="11.25">
      <c r="A64" s="232"/>
      <c r="B64" s="232" t="s">
        <v>3249</v>
      </c>
    </row>
    <row customHeight="1" ht="11.25">
      <c r="A65" s="232"/>
      <c r="B65" s="232" t="s">
        <v>3250</v>
      </c>
    </row>
    <row customHeight="1" ht="11.25">
      <c r="A66" s="232"/>
      <c r="B66" s="232" t="s">
        <v>3251</v>
      </c>
    </row>
    <row customHeight="1" ht="11.25">
      <c r="A67" s="232"/>
      <c r="B67" s="232" t="s">
        <v>3252</v>
      </c>
    </row>
    <row customHeight="1" ht="11.25">
      <c r="A68" s="232"/>
      <c r="B68" s="232" t="s">
        <v>3253</v>
      </c>
    </row>
    <row customHeight="1" ht="11.25">
      <c r="A69" s="232"/>
      <c r="B69" s="232" t="s">
        <v>3254</v>
      </c>
    </row>
    <row customHeight="1" ht="11.25">
      <c r="A70" s="232"/>
      <c r="B70" s="232" t="s">
        <v>3255</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1AE84-66B9-0DBC-413B-2736E0745C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727" width="3.7109375" customWidth="1"/>
    <col min="2" max="2" style="9727" width="90.7109375" customWidth="1"/>
    <col min="3" max="4" style="9727" width="9.140625"/>
  </cols>
  <sheetData>
    <row customHeight="1" ht="11.25">
      <c r="B1" s="263" t="s">
        <v>3256</v>
      </c>
    </row>
    <row customHeight="1" ht="90">
      <c r="B2" s="264" t="s">
        <v>3257</v>
      </c>
    </row>
    <row customHeight="1" ht="67.5">
      <c r="B3" s="264" t="s">
        <v>3258</v>
      </c>
    </row>
    <row customHeight="1" ht="33.75">
      <c r="B4" s="264" t="s">
        <v>3259</v>
      </c>
    </row>
    <row customHeight="1" ht="11.25">
      <c r="B5" s="264" t="s">
        <v>3260</v>
      </c>
    </row>
    <row customHeight="1" ht="22.5">
      <c r="B6" s="264" t="s">
        <v>3261</v>
      </c>
    </row>
    <row customHeight="1" ht="22.5">
      <c r="B7" s="264" t="s">
        <v>3262</v>
      </c>
    </row>
    <row customHeight="1" ht="22.5">
      <c r="B8" s="264" t="s">
        <v>3263</v>
      </c>
    </row>
    <row customHeight="1" ht="22.5">
      <c r="B9" s="264" t="s">
        <v>3264</v>
      </c>
    </row>
    <row customHeight="1" ht="56.25">
      <c r="B10" s="264" t="s">
        <v>3265</v>
      </c>
    </row>
    <row customHeight="1" ht="12.75">
      <c r="B11" s="329" t="s">
        <v>3266</v>
      </c>
    </row>
    <row customHeight="1" ht="11.25">
      <c r="B12" s="263" t="s">
        <v>3267</v>
      </c>
    </row>
    <row customHeight="1" ht="22.5">
      <c r="B13" s="264" t="s">
        <v>3268</v>
      </c>
    </row>
    <row customHeight="1" ht="67.5">
      <c r="B14" s="264" t="s">
        <v>3269</v>
      </c>
    </row>
    <row customHeight="1" ht="22.5">
      <c r="B15" s="264" t="s">
        <v>3270</v>
      </c>
    </row>
    <row customHeight="1" ht="11.25">
      <c r="B16" s="263" t="s">
        <v>3271</v>
      </c>
      <c r="D16" s="270"/>
    </row>
    <row customHeight="1" ht="33.75">
      <c r="B17" s="264" t="s">
        <v>3272</v>
      </c>
    </row>
    <row customHeight="1" ht="33.75">
      <c r="B18" s="264" t="s">
        <v>3273</v>
      </c>
    </row>
    <row customHeight="1" ht="11.25">
      <c r="B19" s="264" t="s">
        <v>3274</v>
      </c>
    </row>
    <row customHeight="1" ht="33.75">
      <c r="B20" s="264" t="s">
        <v>3275</v>
      </c>
    </row>
    <row customHeight="1" ht="11.25">
      <c r="B21" s="263" t="s">
        <v>3276</v>
      </c>
    </row>
    <row customHeight="1" ht="11.25">
      <c r="B22" s="264" t="s">
        <v>3277</v>
      </c>
    </row>
    <row r="24" customHeight="1" ht="22.5">
      <c r="B24" s="331" t="s">
        <v>3278</v>
      </c>
    </row>
    <row r="26" customHeight="1" ht="11.25">
      <c r="B26" s="263" t="s">
        <v>3279</v>
      </c>
    </row>
    <row customHeight="1" ht="22.5">
      <c r="B27" s="330" t="s">
        <v>399</v>
      </c>
    </row>
    <row customHeight="1" ht="56.25">
      <c r="B28" s="330" t="s">
        <v>3280</v>
      </c>
    </row>
    <row customHeight="1" ht="11.25">
      <c r="B29" s="380" t="s">
        <v>3281</v>
      </c>
    </row>
    <row customHeight="1" ht="22.5">
      <c r="B30" s="330" t="s">
        <v>3282</v>
      </c>
    </row>
    <row r="32" customHeight="1" ht="11.25">
      <c r="A32" s="358"/>
      <c r="B32" s="359" t="s">
        <v>3283</v>
      </c>
    </row>
    <row customHeight="1" ht="14.25">
      <c r="A33" s="360">
        <v>1</v>
      </c>
      <c r="B33" s="361" t="s">
        <v>3284</v>
      </c>
    </row>
    <row customHeight="1" ht="14.25">
      <c r="A34" s="360">
        <v>2</v>
      </c>
      <c r="B34" s="361" t="s">
        <v>3285</v>
      </c>
    </row>
    <row customHeight="1" ht="11.25">
      <c r="B35" s="359" t="s">
        <v>3286</v>
      </c>
    </row>
    <row customHeight="1" ht="11.25">
      <c r="B36" s="361" t="s">
        <v>3287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26FC5-153E-82A5-69A2-15626217FF5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9553" width="9.140625" hidden="1" customWidth="1"/>
    <col min="2" max="2" style="9589" width="9.140625" hidden="1" customWidth="1"/>
    <col min="3" max="3" style="9755" width="3.00390625" customWidth="1"/>
    <col min="4" max="4" style="9589" width="5.00390625" customWidth="1"/>
    <col min="5" max="5" style="9589" width="38.00390625" customWidth="1"/>
    <col min="6" max="7" style="9589" width="3.00390625" customWidth="1"/>
    <col min="8" max="8" style="9589" width="38.00390625" customWidth="1"/>
    <col min="9" max="9" style="9589" width="35.00390625" customWidth="1"/>
    <col min="10" max="10" style="9589" width="103.00390625" customWidth="1"/>
    <col min="11" max="11" style="9682" width="3.00390625" customWidth="1"/>
    <col min="12" max="14" style="9667" width="10.00390625" customWidth="1"/>
    <col min="15" max="15" style="9667" width="13.00390625" customWidth="1"/>
    <col min="16" max="16" style="9667" width="15.00390625" customWidth="1"/>
    <col min="17" max="17" style="9667" width="16.00390625" customWidth="1"/>
    <col min="18" max="21" style="9667" width="10.00390625" customWidth="1"/>
    <col min="22" max="22" style="9589" width="10.57421875" hidden="1"/>
  </cols>
  <sheetData>
    <row customHeight="1" ht="22.5" hidden="1">
      <c r="E1" s="582"/>
      <c r="F1" s="582"/>
      <c r="G1" s="582"/>
      <c r="H1" s="2387" t="s">
        <v>355</v>
      </c>
      <c r="I1" s="2387"/>
      <c r="V1" s="1777" t="s">
        <v>14</v>
      </c>
    </row>
    <row s="9589" customFormat="1" customHeight="1" ht="14.25" hidden="1">
      <c r="C2" s="1789"/>
      <c r="D2" s="2403" t="s">
        <v>108</v>
      </c>
      <c r="E2" s="2405"/>
      <c r="F2" s="1795"/>
      <c r="G2" s="1790" t="s">
        <v>108</v>
      </c>
      <c r="H2" s="1793"/>
      <c r="I2" s="1791"/>
      <c r="L2" s="1792"/>
      <c r="M2" s="1792"/>
      <c r="N2" s="1792"/>
      <c r="O2" s="1792" t="s">
        <v>385</v>
      </c>
      <c r="P2" s="1792"/>
      <c r="Q2" s="1792"/>
      <c r="R2" s="1794" t="s">
        <v>384</v>
      </c>
      <c r="S2" s="1794" t="s">
        <v>384</v>
      </c>
      <c r="T2" s="1792"/>
      <c r="U2" s="1792"/>
      <c r="V2" s="1788">
        <v>0</v>
      </c>
    </row>
    <row s="9589" customFormat="1" customHeight="1" ht="14.25" hidden="1">
      <c r="C3" s="1789"/>
      <c r="D3" s="2404"/>
      <c r="E3" s="2406"/>
      <c r="F3" s="575"/>
      <c r="G3" s="1039"/>
      <c r="H3" s="1039" t="s">
        <v>386</v>
      </c>
      <c r="I3" s="483"/>
      <c r="L3" s="1792"/>
      <c r="M3" s="1792"/>
      <c r="N3" s="1792"/>
      <c r="O3" s="1792"/>
      <c r="P3" s="1792"/>
      <c r="Q3" s="1792"/>
      <c r="R3" s="1794"/>
      <c r="S3" s="1794"/>
      <c r="T3" s="1792"/>
      <c r="U3" s="1792"/>
      <c r="V3" s="1788">
        <v>0</v>
      </c>
    </row>
    <row customHeight="1" ht="14.25" hidden="1">
      <c r="V4" s="1777">
        <v>0</v>
      </c>
    </row>
    <row s="10246" customFormat="1" customHeight="1" ht="5.25">
      <c r="C5" s="871"/>
      <c r="D5" s="872"/>
      <c r="E5" s="872"/>
      <c r="F5" s="872"/>
      <c r="G5" s="872"/>
      <c r="H5" s="872" t="s">
        <v>359</v>
      </c>
      <c r="I5" s="872"/>
      <c r="J5" s="872"/>
      <c r="L5" s="1784"/>
      <c r="M5" s="1784"/>
      <c r="N5" s="1784"/>
      <c r="O5" s="1784"/>
      <c r="P5" s="1784"/>
      <c r="Q5" s="1784"/>
      <c r="R5" s="1784"/>
      <c r="S5" s="1784"/>
      <c r="T5" s="1784"/>
      <c r="U5" s="1784"/>
      <c r="V5" s="1783">
        <v>5</v>
      </c>
    </row>
    <row customHeight="1" ht="29.25">
      <c r="C6" s="1686"/>
      <c r="D6" s="2407" t="s">
        <v>387</v>
      </c>
      <c r="E6" s="2407"/>
      <c r="F6" s="2407"/>
      <c r="G6" s="2407"/>
      <c r="H6" s="2407"/>
      <c r="I6" s="2407"/>
      <c r="J6" s="661"/>
      <c r="K6" s="1785"/>
      <c r="V6" s="1777">
        <v>28</v>
      </c>
    </row>
    <row customHeight="1" ht="18">
      <c r="C7" s="1686"/>
      <c r="D7" s="2346" t="str">
        <f>IF(org=0,"Не определено",org)</f>
        <v>МУП "Водоканал"</v>
      </c>
      <c r="E7" s="2346"/>
      <c r="F7" s="2346"/>
      <c r="G7" s="2346"/>
      <c r="H7" s="2346"/>
      <c r="I7" s="2346"/>
      <c r="J7" s="661"/>
      <c r="K7" s="1785"/>
      <c r="V7" s="1777">
        <v>17</v>
      </c>
    </row>
    <row s="9564"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9564"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303</v>
      </c>
      <c r="E10" s="2389"/>
      <c r="F10" s="2389"/>
      <c r="G10" s="2389"/>
      <c r="H10" s="2389"/>
      <c r="I10" s="2389"/>
      <c r="J10" s="2393" t="s">
        <v>304</v>
      </c>
      <c r="V10" s="1777">
        <v>14</v>
      </c>
    </row>
    <row customHeight="1" ht="27.299999999999997">
      <c r="C11" s="1686"/>
      <c r="D11" s="2297" t="s">
        <v>87</v>
      </c>
      <c r="E11" s="2393" t="s">
        <v>104</v>
      </c>
      <c r="F11" s="2362" t="s">
        <v>87</v>
      </c>
      <c r="G11" s="2363"/>
      <c r="H11" s="2345" t="s">
        <v>388</v>
      </c>
      <c r="I11" s="2345" t="s">
        <v>389</v>
      </c>
      <c r="J11" s="2393"/>
      <c r="V11" s="1777">
        <v>26</v>
      </c>
    </row>
    <row customHeight="1" ht="14.699999999999998">
      <c r="C12" s="1686"/>
      <c r="D12" s="2297"/>
      <c r="E12" s="2393"/>
      <c r="F12" s="2370"/>
      <c r="G12" s="2371"/>
      <c r="H12" s="2402"/>
      <c r="I12" s="2402"/>
      <c r="J12" s="2393"/>
      <c r="V12" s="1777">
        <v>14</v>
      </c>
    </row>
    <row s="10287" customFormat="1" customHeight="1" ht="11.25" hidden="1">
      <c r="C13" s="668"/>
      <c r="D13" s="669" t="s">
        <v>379</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108</v>
      </c>
      <c r="E14" s="2405"/>
      <c r="F14" s="1787"/>
      <c r="G14" s="1786" t="s">
        <v>108</v>
      </c>
      <c r="H14" s="1793"/>
      <c r="I14" s="1791"/>
      <c r="J14" s="2339" t="s">
        <v>390</v>
      </c>
      <c r="K14" s="1777"/>
      <c r="R14" s="670" t="s">
        <v>384</v>
      </c>
      <c r="S14" s="670" t="s">
        <v>384</v>
      </c>
      <c r="V14" s="1777">
        <v>14</v>
      </c>
    </row>
    <row customHeight="1" ht="14.699999999999998">
      <c r="A15" s="1777"/>
      <c r="C15" s="1686"/>
      <c r="D15" s="2404"/>
      <c r="E15" s="2406"/>
      <c r="F15" s="575"/>
      <c r="G15" s="1039"/>
      <c r="H15" s="1039" t="s">
        <v>386</v>
      </c>
      <c r="I15" s="483"/>
      <c r="J15" s="2340"/>
      <c r="K15" s="1777"/>
      <c r="R15" s="670"/>
      <c r="S15" s="670"/>
      <c r="V15" s="1777">
        <v>14</v>
      </c>
    </row>
    <row customHeight="1" ht="14.699999999999998">
      <c r="A16" s="1777"/>
      <c r="C16" s="1686"/>
      <c r="D16" s="575"/>
      <c r="E16" s="1039" t="s">
        <v>120</v>
      </c>
      <c r="F16" s="483"/>
      <c r="G16" s="483"/>
      <c r="H16" s="576"/>
      <c r="I16" s="576"/>
      <c r="J16" s="2341"/>
      <c r="K16" s="1777"/>
      <c r="V16" s="1777">
        <v>14</v>
      </c>
    </row>
    <row customHeight="1" ht="14.699999999999998">
      <c r="K17" s="1777"/>
      <c r="V17" s="1777">
        <v>14</v>
      </c>
    </row>
    <row customHeight="1" ht="22.5" hidden="1">
      <c r="A18" s="1778" t="s">
        <v>81</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